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urbina\OneDrive - DIRECCIÓN GENERAL ARCHIVO NACIONAL\2019\Presupuesto 2020\"/>
    </mc:Choice>
  </mc:AlternateContent>
  <bookViews>
    <workbookView xWindow="0" yWindow="0" windowWidth="24000" windowHeight="9435" firstSheet="3" activeTab="4"/>
  </bookViews>
  <sheets>
    <sheet name="origen y aplicación " sheetId="1" r:id="rId1"/>
    <sheet name="ingresos 2020 colones " sheetId="2" r:id="rId2"/>
    <sheet name="Clasificador Economico" sheetId="3" r:id="rId3"/>
    <sheet name="presupuesto global" sheetId="4" r:id="rId4"/>
    <sheet name="Transferencia Just." sheetId="8" r:id="rId5"/>
    <sheet name="Transferencia" sheetId="5" r:id="rId6"/>
    <sheet name="Ing. propios" sheetId="6" r:id="rId7"/>
    <sheet name="Ing.Propios Just" sheetId="7" r:id="rId8"/>
  </sheets>
  <externalReferences>
    <externalReference r:id="rId9"/>
    <externalReference r:id="rId10"/>
    <externalReference r:id="rId11"/>
    <externalReference r:id="rId12"/>
  </externalReferences>
  <definedNames>
    <definedName name="_xlnm._FilterDatabase" localSheetId="4" hidden="1">'Transferencia Just.'!$C$1:$C$37</definedName>
    <definedName name="_ftn1_1" localSheetId="4">#REF!</definedName>
    <definedName name="_ftn1_1">#REF!</definedName>
    <definedName name="_ftn2_1" localSheetId="4">#REF!</definedName>
    <definedName name="_ftn2_1">#REF!</definedName>
    <definedName name="_ftnref1_1" localSheetId="7">#REF!</definedName>
    <definedName name="_ftnref1_1" localSheetId="4">#REF!</definedName>
    <definedName name="_ftnref1_1">[1]POL_!#REF!</definedName>
    <definedName name="_ftnref2_1" localSheetId="7">#REF!</definedName>
    <definedName name="_ftnref2_1" localSheetId="4">#REF!</definedName>
    <definedName name="_ftnref2_1">[1]POL_!#REF!</definedName>
    <definedName name="_xlnm.Print_Area" localSheetId="2">'Clasificador Economico'!$A$1:$F$44</definedName>
    <definedName name="_xlnm.Print_Area" localSheetId="6">'Ing. propios'!$A$1:$F$257</definedName>
    <definedName name="_xlnm.Print_Area" localSheetId="7">'Ing.Propios Just'!$A$1:$F$132</definedName>
    <definedName name="_xlnm.Print_Area" localSheetId="1">'ingresos 2020 colones '!$A$1:$N$55</definedName>
    <definedName name="_xlnm.Print_Area" localSheetId="0">'origen y aplicación '!$A$1:$I$40</definedName>
    <definedName name="_xlnm.Print_Area" localSheetId="3">'presupuesto global'!$A$1:$F$257</definedName>
    <definedName name="_xlnm.Print_Area" localSheetId="5">Transferencia!$A$1:$F$257</definedName>
    <definedName name="_xlnm.Print_Area" localSheetId="4">'Transferencia Just.'!$A$1:$F$156</definedName>
    <definedName name="dad">[1]PEP1!#REF!</definedName>
    <definedName name="Excel_BuiltIn_Print_Area_10" localSheetId="7">#REF!</definedName>
    <definedName name="Excel_BuiltIn_Print_Area_10" localSheetId="4">#REF!</definedName>
    <definedName name="Excel_BuiltIn_Print_Area_10">[1]PEP1!#REF!</definedName>
    <definedName name="Excel_BuiltIn_Print_Area_10_1" localSheetId="4">#REF!</definedName>
    <definedName name="Excel_BuiltIn_Print_Area_10_1">#REF!</definedName>
    <definedName name="Excel_BuiltIn_Print_Area_13" localSheetId="7">#REF!</definedName>
    <definedName name="Excel_BuiltIn_Print_Area_13" localSheetId="4">#REF!</definedName>
    <definedName name="Excel_BuiltIn_Print_Area_13">[1]PEP2!#REF!</definedName>
    <definedName name="Excel_BuiltIn_Print_Area_5_1" localSheetId="7">#REF!</definedName>
    <definedName name="Excel_BuiltIn_Print_Area_5_1" localSheetId="4">#REF!</definedName>
    <definedName name="Excel_BuiltIn_Print_Area_5_1">#REF!</definedName>
    <definedName name="Excel_BuiltIn_Print_Area_7_1" localSheetId="4">#REF!</definedName>
    <definedName name="Excel_BuiltIn_Print_Area_7_1">#REF!</definedName>
    <definedName name="Excel_BuiltIn_Print_Area_8_1" localSheetId="7">#REF!</definedName>
    <definedName name="Excel_BuiltIn_Print_Area_8_1" localSheetId="4">#REF!</definedName>
    <definedName name="Excel_BuiltIn_Print_Area_8_1">#REF!</definedName>
    <definedName name="Excel_BuiltIn_Print_Area_9_1" localSheetId="7">#REF!</definedName>
    <definedName name="Excel_BuiltIn_Print_Area_9_1" localSheetId="4">#REF!</definedName>
    <definedName name="Excel_BuiltIn_Print_Area_9_1">#REF!</definedName>
    <definedName name="Excel_BuiltIn_Print_Titles_10_1" localSheetId="4">#REF!</definedName>
    <definedName name="Excel_BuiltIn_Print_Titles_10_1">#REF!</definedName>
    <definedName name="Excel_BuiltIn_Print_Titles_4_1" localSheetId="7">#REF!,#REF!</definedName>
    <definedName name="Excel_BuiltIn_Print_Titles_4_1" localSheetId="4">#REF!,#REF!</definedName>
    <definedName name="Excel_BuiltIn_Print_Titles_4_1">#REF!,#REF!</definedName>
    <definedName name="_xlnm.Print_Titles" localSheetId="6">'Ing. propios'!$1:$8</definedName>
    <definedName name="_xlnm.Print_Titles" localSheetId="7">'Ing.Propios Just'!$1:$8</definedName>
    <definedName name="_xlnm.Print_Titles" localSheetId="1">'ingresos 2020 colones '!$1:$8</definedName>
    <definedName name="_xlnm.Print_Titles" localSheetId="3">'presupuesto global'!$1:$8</definedName>
    <definedName name="_xlnm.Print_Titles" localSheetId="5">Transferencia!$1:$8</definedName>
    <definedName name="_xlnm.Print_Titles" localSheetId="4">'Transferencia Just.'!$1:$8</definedName>
    <definedName name="yfchg">#REF!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5" i="8" l="1"/>
  <c r="F154" i="8" s="1"/>
  <c r="F152" i="8" s="1"/>
  <c r="F148" i="8"/>
  <c r="F147" i="8"/>
  <c r="E146" i="8"/>
  <c r="E145" i="8"/>
  <c r="F145" i="8" s="1"/>
  <c r="E143" i="8"/>
  <c r="F142" i="8" s="1"/>
  <c r="E140" i="8"/>
  <c r="F139" i="8" s="1"/>
  <c r="E136" i="8"/>
  <c r="E135" i="8"/>
  <c r="E134" i="8"/>
  <c r="E133" i="8"/>
  <c r="E132" i="8"/>
  <c r="E131" i="8"/>
  <c r="F131" i="8" s="1"/>
  <c r="F128" i="8"/>
  <c r="E125" i="8"/>
  <c r="E124" i="8"/>
  <c r="E123" i="8"/>
  <c r="F122" i="8"/>
  <c r="F116" i="8"/>
  <c r="F115" i="8"/>
  <c r="F114" i="8" s="1"/>
  <c r="F111" i="8"/>
  <c r="F109" i="8"/>
  <c r="F107" i="8"/>
  <c r="F106" i="8"/>
  <c r="F105" i="8"/>
  <c r="F104" i="8" s="1"/>
  <c r="F101" i="8"/>
  <c r="F100" i="8" s="1"/>
  <c r="G90" i="8"/>
  <c r="F90" i="8"/>
  <c r="F87" i="8"/>
  <c r="F86" i="8"/>
  <c r="F85" i="8" s="1"/>
  <c r="E86" i="8"/>
  <c r="E78" i="8"/>
  <c r="F76" i="8"/>
  <c r="F75" i="8" s="1"/>
  <c r="F72" i="8"/>
  <c r="F69" i="8"/>
  <c r="F66" i="8"/>
  <c r="F65" i="8" s="1"/>
  <c r="F62" i="8"/>
  <c r="F61" i="8"/>
  <c r="F60" i="8"/>
  <c r="F59" i="8" s="1"/>
  <c r="F55" i="8"/>
  <c r="F52" i="8"/>
  <c r="E52" i="8"/>
  <c r="I51" i="8"/>
  <c r="H50" i="8"/>
  <c r="G50" i="8"/>
  <c r="H49" i="8"/>
  <c r="G49" i="8"/>
  <c r="F49" i="8"/>
  <c r="F48" i="8"/>
  <c r="F46" i="8"/>
  <c r="E45" i="8"/>
  <c r="F44" i="8"/>
  <c r="E44" i="8"/>
  <c r="F43" i="8"/>
  <c r="F42" i="8"/>
  <c r="F41" i="8"/>
  <c r="F40" i="8"/>
  <c r="F36" i="8"/>
  <c r="F35" i="8"/>
  <c r="F34" i="8"/>
  <c r="F33" i="8"/>
  <c r="F32" i="8" s="1"/>
  <c r="F30" i="8"/>
  <c r="F29" i="8"/>
  <c r="F28" i="8" s="1"/>
  <c r="F26" i="8"/>
  <c r="F25" i="8"/>
  <c r="F24" i="8"/>
  <c r="F23" i="8"/>
  <c r="F21" i="8" s="1"/>
  <c r="F22" i="8"/>
  <c r="F19" i="8"/>
  <c r="F18" i="8" s="1"/>
  <c r="F16" i="8"/>
  <c r="F15" i="8"/>
  <c r="F14" i="8" s="1"/>
  <c r="F12" i="8" s="1"/>
  <c r="E9" i="8"/>
  <c r="F131" i="7"/>
  <c r="F130" i="7" s="1"/>
  <c r="F125" i="7" s="1"/>
  <c r="F123" i="7"/>
  <c r="F122" i="7" s="1"/>
  <c r="F120" i="7"/>
  <c r="E118" i="7"/>
  <c r="F117" i="7"/>
  <c r="E115" i="7"/>
  <c r="F112" i="7" s="1"/>
  <c r="E109" i="7"/>
  <c r="F108" i="7"/>
  <c r="E108" i="7"/>
  <c r="F106" i="7"/>
  <c r="E106" i="7"/>
  <c r="F105" i="7"/>
  <c r="F100" i="7"/>
  <c r="F98" i="7"/>
  <c r="E98" i="7"/>
  <c r="F97" i="7"/>
  <c r="E97" i="7"/>
  <c r="E94" i="7"/>
  <c r="F93" i="7" s="1"/>
  <c r="F92" i="7" s="1"/>
  <c r="F89" i="7"/>
  <c r="E88" i="7"/>
  <c r="F87" i="7" s="1"/>
  <c r="F86" i="7" s="1"/>
  <c r="E84" i="7"/>
  <c r="F84" i="7" s="1"/>
  <c r="F83" i="7"/>
  <c r="E83" i="7"/>
  <c r="E82" i="7"/>
  <c r="F82" i="7" s="1"/>
  <c r="F81" i="7" s="1"/>
  <c r="E79" i="7"/>
  <c r="F78" i="7" s="1"/>
  <c r="F77" i="7" s="1"/>
  <c r="F73" i="7"/>
  <c r="F72" i="7" s="1"/>
  <c r="H70" i="7"/>
  <c r="E70" i="7"/>
  <c r="E69" i="7"/>
  <c r="H69" i="7" s="1"/>
  <c r="H68" i="7"/>
  <c r="E68" i="7"/>
  <c r="E67" i="7"/>
  <c r="H67" i="7" s="1"/>
  <c r="E66" i="7"/>
  <c r="H66" i="7" s="1"/>
  <c r="E65" i="7"/>
  <c r="F64" i="7" s="1"/>
  <c r="H64" i="7"/>
  <c r="E64" i="7"/>
  <c r="H63" i="7"/>
  <c r="E63" i="7"/>
  <c r="H62" i="7"/>
  <c r="E62" i="7"/>
  <c r="H61" i="7"/>
  <c r="H60" i="7"/>
  <c r="F60" i="7"/>
  <c r="E60" i="7"/>
  <c r="H59" i="7"/>
  <c r="E59" i="7"/>
  <c r="E58" i="7"/>
  <c r="H58" i="7" s="1"/>
  <c r="F57" i="7"/>
  <c r="E57" i="7"/>
  <c r="E56" i="7"/>
  <c r="F55" i="7"/>
  <c r="E55" i="7"/>
  <c r="E54" i="7"/>
  <c r="F53" i="7" s="1"/>
  <c r="F50" i="7"/>
  <c r="E50" i="7"/>
  <c r="E49" i="7"/>
  <c r="F48" i="7"/>
  <c r="F47" i="7" s="1"/>
  <c r="E48" i="7"/>
  <c r="F45" i="7"/>
  <c r="F44" i="7"/>
  <c r="F40" i="7"/>
  <c r="F37" i="7"/>
  <c r="E37" i="7"/>
  <c r="I35" i="7"/>
  <c r="F35" i="7"/>
  <c r="F34" i="7"/>
  <c r="F33" i="7"/>
  <c r="F32" i="7"/>
  <c r="F27" i="7"/>
  <c r="E27" i="7"/>
  <c r="F24" i="7"/>
  <c r="F23" i="7"/>
  <c r="F21" i="7" s="1"/>
  <c r="F22" i="7"/>
  <c r="E19" i="7"/>
  <c r="F19" i="7" s="1"/>
  <c r="F18" i="7" s="1"/>
  <c r="F13" i="7"/>
  <c r="F11" i="7"/>
  <c r="F121" i="8" l="1"/>
  <c r="F83" i="8" s="1"/>
  <c r="F38" i="8"/>
  <c r="F9" i="8" s="1"/>
  <c r="F104" i="7"/>
  <c r="F102" i="7" s="1"/>
  <c r="F75" i="7"/>
  <c r="E9" i="7"/>
  <c r="F58" i="7"/>
  <c r="F52" i="7" s="1"/>
  <c r="F16" i="7" s="1"/>
  <c r="F9" i="7" s="1"/>
  <c r="H9" i="7" s="1"/>
  <c r="H65" i="7"/>
  <c r="F69" i="7"/>
  <c r="O257" i="6" l="1"/>
  <c r="O256" i="6"/>
  <c r="M256" i="6"/>
  <c r="K256" i="6"/>
  <c r="J256" i="6"/>
  <c r="I256" i="6"/>
  <c r="H256" i="6"/>
  <c r="O255" i="6"/>
  <c r="K255" i="6"/>
  <c r="J255" i="6"/>
  <c r="I255" i="6"/>
  <c r="H255" i="6"/>
  <c r="M254" i="6" s="1"/>
  <c r="O254" i="6"/>
  <c r="K254" i="6"/>
  <c r="J254" i="6"/>
  <c r="I254" i="6"/>
  <c r="H254" i="6"/>
  <c r="M253" i="6" s="1"/>
  <c r="O253" i="6"/>
  <c r="K253" i="6"/>
  <c r="J253" i="6"/>
  <c r="I253" i="6"/>
  <c r="H253" i="6"/>
  <c r="O252" i="6"/>
  <c r="K252" i="6"/>
  <c r="J252" i="6"/>
  <c r="I252" i="6"/>
  <c r="H252" i="6"/>
  <c r="O251" i="6"/>
  <c r="K251" i="6"/>
  <c r="L251" i="6" s="1"/>
  <c r="J251" i="6"/>
  <c r="I251" i="6"/>
  <c r="H251" i="6"/>
  <c r="O250" i="6"/>
  <c r="M250" i="6"/>
  <c r="K250" i="6"/>
  <c r="J250" i="6"/>
  <c r="I250" i="6"/>
  <c r="H250" i="6"/>
  <c r="M249" i="6" s="1"/>
  <c r="O249" i="6"/>
  <c r="K249" i="6"/>
  <c r="J249" i="6"/>
  <c r="I249" i="6"/>
  <c r="H249" i="6"/>
  <c r="M248" i="6" s="1"/>
  <c r="O248" i="6"/>
  <c r="K248" i="6"/>
  <c r="J248" i="6"/>
  <c r="I248" i="6"/>
  <c r="H248" i="6"/>
  <c r="O247" i="6"/>
  <c r="K247" i="6"/>
  <c r="J247" i="6"/>
  <c r="I247" i="6"/>
  <c r="H247" i="6"/>
  <c r="M246" i="6" s="1"/>
  <c r="O246" i="6"/>
  <c r="K246" i="6"/>
  <c r="J246" i="6"/>
  <c r="I246" i="6"/>
  <c r="H246" i="6"/>
  <c r="O245" i="6"/>
  <c r="K245" i="6"/>
  <c r="J245" i="6"/>
  <c r="I245" i="6"/>
  <c r="H245" i="6"/>
  <c r="O244" i="6"/>
  <c r="M244" i="6"/>
  <c r="L244" i="6"/>
  <c r="K244" i="6"/>
  <c r="J244" i="6"/>
  <c r="I244" i="6"/>
  <c r="H244" i="6"/>
  <c r="M243" i="6" s="1"/>
  <c r="O243" i="6"/>
  <c r="K243" i="6"/>
  <c r="L243" i="6" s="1"/>
  <c r="J243" i="6"/>
  <c r="I243" i="6"/>
  <c r="H243" i="6"/>
  <c r="M242" i="6" s="1"/>
  <c r="O242" i="6"/>
  <c r="K242" i="6"/>
  <c r="J242" i="6"/>
  <c r="I242" i="6"/>
  <c r="H242" i="6"/>
  <c r="M241" i="6" s="1"/>
  <c r="O241" i="6"/>
  <c r="K241" i="6"/>
  <c r="J241" i="6"/>
  <c r="I241" i="6"/>
  <c r="H241" i="6"/>
  <c r="M240" i="6" s="1"/>
  <c r="O240" i="6"/>
  <c r="K240" i="6"/>
  <c r="J240" i="6"/>
  <c r="I240" i="6"/>
  <c r="H240" i="6"/>
  <c r="O239" i="6"/>
  <c r="K239" i="6"/>
  <c r="J239" i="6"/>
  <c r="I239" i="6"/>
  <c r="H239" i="6"/>
  <c r="M238" i="6" s="1"/>
  <c r="O238" i="6"/>
  <c r="K238" i="6"/>
  <c r="J238" i="6"/>
  <c r="I238" i="6"/>
  <c r="H238" i="6"/>
  <c r="O237" i="6"/>
  <c r="M237" i="6"/>
  <c r="K237" i="6"/>
  <c r="J237" i="6"/>
  <c r="I237" i="6"/>
  <c r="H237" i="6"/>
  <c r="M236" i="6" s="1"/>
  <c r="O236" i="6"/>
  <c r="K236" i="6"/>
  <c r="J236" i="6"/>
  <c r="I236" i="6"/>
  <c r="L236" i="6" s="1"/>
  <c r="H236" i="6"/>
  <c r="O235" i="6"/>
  <c r="M235" i="6"/>
  <c r="K235" i="6"/>
  <c r="J235" i="6"/>
  <c r="I235" i="6"/>
  <c r="H235" i="6"/>
  <c r="M234" i="6" s="1"/>
  <c r="O234" i="6"/>
  <c r="K234" i="6"/>
  <c r="J234" i="6"/>
  <c r="I234" i="6"/>
  <c r="H234" i="6"/>
  <c r="M233" i="6" s="1"/>
  <c r="O233" i="6"/>
  <c r="K233" i="6"/>
  <c r="J233" i="6"/>
  <c r="I233" i="6"/>
  <c r="H233" i="6"/>
  <c r="M232" i="6" s="1"/>
  <c r="O232" i="6"/>
  <c r="K232" i="6"/>
  <c r="J232" i="6"/>
  <c r="I232" i="6"/>
  <c r="H232" i="6"/>
  <c r="O231" i="6"/>
  <c r="K231" i="6"/>
  <c r="J231" i="6"/>
  <c r="I231" i="6"/>
  <c r="H231" i="6"/>
  <c r="M230" i="6" s="1"/>
  <c r="O230" i="6"/>
  <c r="K230" i="6"/>
  <c r="J230" i="6"/>
  <c r="I230" i="6"/>
  <c r="H230" i="6"/>
  <c r="M229" i="6" s="1"/>
  <c r="O229" i="6"/>
  <c r="K229" i="6"/>
  <c r="J229" i="6"/>
  <c r="I229" i="6"/>
  <c r="H229" i="6"/>
  <c r="O228" i="6"/>
  <c r="K228" i="6"/>
  <c r="J228" i="6"/>
  <c r="I228" i="6"/>
  <c r="H228" i="6"/>
  <c r="O227" i="6"/>
  <c r="K227" i="6"/>
  <c r="L227" i="6" s="1"/>
  <c r="J227" i="6"/>
  <c r="I227" i="6"/>
  <c r="H227" i="6"/>
  <c r="O226" i="6"/>
  <c r="M226" i="6"/>
  <c r="K226" i="6"/>
  <c r="J226" i="6"/>
  <c r="I226" i="6"/>
  <c r="H226" i="6"/>
  <c r="M225" i="6" s="1"/>
  <c r="O225" i="6"/>
  <c r="K225" i="6"/>
  <c r="J225" i="6"/>
  <c r="I225" i="6"/>
  <c r="H225" i="6"/>
  <c r="M224" i="6" s="1"/>
  <c r="O224" i="6"/>
  <c r="K224" i="6"/>
  <c r="J224" i="6"/>
  <c r="I224" i="6"/>
  <c r="H224" i="6"/>
  <c r="O223" i="6"/>
  <c r="K223" i="6"/>
  <c r="J223" i="6"/>
  <c r="I223" i="6"/>
  <c r="H223" i="6"/>
  <c r="M222" i="6" s="1"/>
  <c r="O222" i="6"/>
  <c r="K222" i="6"/>
  <c r="J222" i="6"/>
  <c r="I222" i="6"/>
  <c r="H222" i="6"/>
  <c r="O221" i="6"/>
  <c r="K221" i="6"/>
  <c r="J221" i="6"/>
  <c r="I221" i="6"/>
  <c r="H221" i="6"/>
  <c r="O220" i="6"/>
  <c r="M220" i="6"/>
  <c r="L220" i="6"/>
  <c r="K220" i="6"/>
  <c r="J220" i="6"/>
  <c r="I220" i="6"/>
  <c r="H220" i="6"/>
  <c r="O219" i="6"/>
  <c r="M219" i="6"/>
  <c r="K219" i="6"/>
  <c r="J219" i="6"/>
  <c r="I219" i="6"/>
  <c r="H219" i="6"/>
  <c r="M218" i="6" s="1"/>
  <c r="O218" i="6"/>
  <c r="K218" i="6"/>
  <c r="J218" i="6"/>
  <c r="I218" i="6"/>
  <c r="H218" i="6"/>
  <c r="M217" i="6" s="1"/>
  <c r="O217" i="6"/>
  <c r="K217" i="6"/>
  <c r="J217" i="6"/>
  <c r="I217" i="6"/>
  <c r="H217" i="6"/>
  <c r="M216" i="6" s="1"/>
  <c r="O216" i="6"/>
  <c r="K216" i="6"/>
  <c r="J216" i="6"/>
  <c r="I216" i="6"/>
  <c r="H216" i="6"/>
  <c r="O215" i="6"/>
  <c r="K215" i="6"/>
  <c r="J215" i="6"/>
  <c r="I215" i="6"/>
  <c r="H215" i="6"/>
  <c r="M214" i="6" s="1"/>
  <c r="O214" i="6"/>
  <c r="K214" i="6"/>
  <c r="J214" i="6"/>
  <c r="I214" i="6"/>
  <c r="H214" i="6"/>
  <c r="O213" i="6"/>
  <c r="M213" i="6"/>
  <c r="K213" i="6"/>
  <c r="J213" i="6"/>
  <c r="I213" i="6"/>
  <c r="H213" i="6"/>
  <c r="M212" i="6" s="1"/>
  <c r="O212" i="6"/>
  <c r="K212" i="6"/>
  <c r="J212" i="6"/>
  <c r="I212" i="6"/>
  <c r="H212" i="6"/>
  <c r="L212" i="6" s="1"/>
  <c r="O211" i="6"/>
  <c r="M211" i="6"/>
  <c r="K211" i="6"/>
  <c r="J211" i="6"/>
  <c r="I211" i="6"/>
  <c r="H211" i="6"/>
  <c r="M210" i="6" s="1"/>
  <c r="O210" i="6"/>
  <c r="K210" i="6"/>
  <c r="J210" i="6"/>
  <c r="I210" i="6"/>
  <c r="H210" i="6"/>
  <c r="M209" i="6" s="1"/>
  <c r="O209" i="6"/>
  <c r="K209" i="6"/>
  <c r="J209" i="6"/>
  <c r="I209" i="6"/>
  <c r="H209" i="6"/>
  <c r="M208" i="6" s="1"/>
  <c r="O208" i="6"/>
  <c r="K208" i="6"/>
  <c r="J208" i="6"/>
  <c r="I208" i="6"/>
  <c r="H208" i="6"/>
  <c r="O207" i="6"/>
  <c r="K207" i="6"/>
  <c r="J207" i="6"/>
  <c r="I207" i="6"/>
  <c r="H207" i="6"/>
  <c r="M206" i="6" s="1"/>
  <c r="O206" i="6"/>
  <c r="K206" i="6"/>
  <c r="J206" i="6"/>
  <c r="I206" i="6"/>
  <c r="H206" i="6"/>
  <c r="M205" i="6" s="1"/>
  <c r="O205" i="6"/>
  <c r="K205" i="6"/>
  <c r="J205" i="6"/>
  <c r="I205" i="6"/>
  <c r="H205" i="6"/>
  <c r="O204" i="6"/>
  <c r="K204" i="6"/>
  <c r="J204" i="6"/>
  <c r="I204" i="6"/>
  <c r="H204" i="6"/>
  <c r="O203" i="6"/>
  <c r="K203" i="6"/>
  <c r="L203" i="6" s="1"/>
  <c r="J203" i="6"/>
  <c r="I203" i="6"/>
  <c r="H203" i="6"/>
  <c r="O202" i="6"/>
  <c r="M202" i="6"/>
  <c r="K202" i="6"/>
  <c r="J202" i="6"/>
  <c r="I202" i="6"/>
  <c r="H202" i="6"/>
  <c r="M201" i="6" s="1"/>
  <c r="O201" i="6"/>
  <c r="K201" i="6"/>
  <c r="J201" i="6"/>
  <c r="I201" i="6"/>
  <c r="H201" i="6"/>
  <c r="M200" i="6" s="1"/>
  <c r="O200" i="6"/>
  <c r="K200" i="6"/>
  <c r="J200" i="6"/>
  <c r="I200" i="6"/>
  <c r="H200" i="6"/>
  <c r="O199" i="6"/>
  <c r="K199" i="6"/>
  <c r="J199" i="6"/>
  <c r="I199" i="6"/>
  <c r="H199" i="6"/>
  <c r="M198" i="6" s="1"/>
  <c r="O198" i="6"/>
  <c r="K198" i="6"/>
  <c r="J198" i="6"/>
  <c r="I198" i="6"/>
  <c r="H198" i="6"/>
  <c r="O197" i="6"/>
  <c r="K197" i="6"/>
  <c r="J197" i="6"/>
  <c r="I197" i="6"/>
  <c r="H197" i="6"/>
  <c r="L197" i="6" s="1"/>
  <c r="O196" i="6"/>
  <c r="M196" i="6"/>
  <c r="K196" i="6"/>
  <c r="J196" i="6"/>
  <c r="I196" i="6"/>
  <c r="H196" i="6"/>
  <c r="L196" i="6" s="1"/>
  <c r="O195" i="6"/>
  <c r="M195" i="6"/>
  <c r="K195" i="6"/>
  <c r="L195" i="6" s="1"/>
  <c r="J195" i="6"/>
  <c r="I195" i="6"/>
  <c r="H195" i="6"/>
  <c r="M194" i="6" s="1"/>
  <c r="O194" i="6"/>
  <c r="K194" i="6"/>
  <c r="J194" i="6"/>
  <c r="I194" i="6"/>
  <c r="H194" i="6"/>
  <c r="M193" i="6" s="1"/>
  <c r="O193" i="6"/>
  <c r="K193" i="6"/>
  <c r="J193" i="6"/>
  <c r="I193" i="6"/>
  <c r="H193" i="6"/>
  <c r="O192" i="6"/>
  <c r="M192" i="6"/>
  <c r="K192" i="6"/>
  <c r="J192" i="6"/>
  <c r="I192" i="6"/>
  <c r="H192" i="6"/>
  <c r="O191" i="6"/>
  <c r="K191" i="6"/>
  <c r="J191" i="6"/>
  <c r="I191" i="6"/>
  <c r="H191" i="6"/>
  <c r="M190" i="6" s="1"/>
  <c r="O190" i="6"/>
  <c r="K190" i="6"/>
  <c r="J190" i="6"/>
  <c r="I190" i="6"/>
  <c r="H190" i="6"/>
  <c r="L190" i="6" s="1"/>
  <c r="O189" i="6"/>
  <c r="M189" i="6"/>
  <c r="K189" i="6"/>
  <c r="J189" i="6"/>
  <c r="I189" i="6"/>
  <c r="H189" i="6"/>
  <c r="O188" i="6"/>
  <c r="M188" i="6"/>
  <c r="K188" i="6"/>
  <c r="L188" i="6" s="1"/>
  <c r="J188" i="6"/>
  <c r="I188" i="6"/>
  <c r="H188" i="6"/>
  <c r="M187" i="6" s="1"/>
  <c r="O187" i="6"/>
  <c r="K187" i="6"/>
  <c r="J187" i="6"/>
  <c r="I187" i="6"/>
  <c r="H187" i="6"/>
  <c r="O186" i="6"/>
  <c r="M186" i="6"/>
  <c r="K186" i="6"/>
  <c r="J186" i="6"/>
  <c r="I186" i="6"/>
  <c r="H186" i="6"/>
  <c r="M185" i="6" s="1"/>
  <c r="O185" i="6"/>
  <c r="K185" i="6"/>
  <c r="J185" i="6"/>
  <c r="I185" i="6"/>
  <c r="H185" i="6"/>
  <c r="M184" i="6" s="1"/>
  <c r="O184" i="6"/>
  <c r="K184" i="6"/>
  <c r="J184" i="6"/>
  <c r="I184" i="6"/>
  <c r="H184" i="6"/>
  <c r="O183" i="6"/>
  <c r="K183" i="6"/>
  <c r="J183" i="6"/>
  <c r="I183" i="6"/>
  <c r="H183" i="6"/>
  <c r="M182" i="6" s="1"/>
  <c r="O182" i="6"/>
  <c r="K182" i="6"/>
  <c r="J182" i="6"/>
  <c r="I182" i="6"/>
  <c r="H182" i="6"/>
  <c r="M181" i="6" s="1"/>
  <c r="O181" i="6"/>
  <c r="K181" i="6"/>
  <c r="J181" i="6"/>
  <c r="I181" i="6"/>
  <c r="H181" i="6"/>
  <c r="O180" i="6"/>
  <c r="M180" i="6"/>
  <c r="K180" i="6"/>
  <c r="J180" i="6"/>
  <c r="I180" i="6"/>
  <c r="H180" i="6"/>
  <c r="O179" i="6"/>
  <c r="K179" i="6"/>
  <c r="J179" i="6"/>
  <c r="I179" i="6"/>
  <c r="H179" i="6"/>
  <c r="M178" i="6" s="1"/>
  <c r="O178" i="6"/>
  <c r="K178" i="6"/>
  <c r="J178" i="6"/>
  <c r="I178" i="6"/>
  <c r="H178" i="6"/>
  <c r="M177" i="6" s="1"/>
  <c r="O177" i="6"/>
  <c r="K177" i="6"/>
  <c r="J177" i="6"/>
  <c r="I177" i="6"/>
  <c r="H177" i="6"/>
  <c r="M176" i="6" s="1"/>
  <c r="O176" i="6"/>
  <c r="K176" i="6"/>
  <c r="J176" i="6"/>
  <c r="I176" i="6"/>
  <c r="H176" i="6"/>
  <c r="O175" i="6"/>
  <c r="K175" i="6"/>
  <c r="J175" i="6"/>
  <c r="I175" i="6"/>
  <c r="H175" i="6"/>
  <c r="M174" i="6" s="1"/>
  <c r="O174" i="6"/>
  <c r="K174" i="6"/>
  <c r="J174" i="6"/>
  <c r="I174" i="6"/>
  <c r="H174" i="6"/>
  <c r="O173" i="6"/>
  <c r="K173" i="6"/>
  <c r="J173" i="6"/>
  <c r="I173" i="6"/>
  <c r="H173" i="6"/>
  <c r="L173" i="6" s="1"/>
  <c r="O172" i="6"/>
  <c r="M172" i="6"/>
  <c r="K172" i="6"/>
  <c r="J172" i="6"/>
  <c r="L172" i="6" s="1"/>
  <c r="I172" i="6"/>
  <c r="H172" i="6"/>
  <c r="O171" i="6"/>
  <c r="M171" i="6"/>
  <c r="K171" i="6"/>
  <c r="L171" i="6" s="1"/>
  <c r="J171" i="6"/>
  <c r="I171" i="6"/>
  <c r="H171" i="6"/>
  <c r="M170" i="6" s="1"/>
  <c r="O170" i="6"/>
  <c r="K170" i="6"/>
  <c r="J170" i="6"/>
  <c r="I170" i="6"/>
  <c r="H170" i="6"/>
  <c r="M169" i="6" s="1"/>
  <c r="O169" i="6"/>
  <c r="K169" i="6"/>
  <c r="J169" i="6"/>
  <c r="I169" i="6"/>
  <c r="H169" i="6"/>
  <c r="O168" i="6"/>
  <c r="M168" i="6"/>
  <c r="K168" i="6"/>
  <c r="J168" i="6"/>
  <c r="I168" i="6"/>
  <c r="H168" i="6"/>
  <c r="O167" i="6"/>
  <c r="K167" i="6"/>
  <c r="J167" i="6"/>
  <c r="I167" i="6"/>
  <c r="H167" i="6"/>
  <c r="M166" i="6" s="1"/>
  <c r="O166" i="6"/>
  <c r="K166" i="6"/>
  <c r="J166" i="6"/>
  <c r="I166" i="6"/>
  <c r="H166" i="6"/>
  <c r="O165" i="6"/>
  <c r="M165" i="6"/>
  <c r="K165" i="6"/>
  <c r="J165" i="6"/>
  <c r="I165" i="6"/>
  <c r="H165" i="6"/>
  <c r="M164" i="6" s="1"/>
  <c r="O164" i="6"/>
  <c r="K164" i="6"/>
  <c r="J164" i="6"/>
  <c r="I164" i="6"/>
  <c r="H164" i="6"/>
  <c r="M163" i="6" s="1"/>
  <c r="O163" i="6"/>
  <c r="K163" i="6"/>
  <c r="J163" i="6"/>
  <c r="I163" i="6"/>
  <c r="H163" i="6"/>
  <c r="M162" i="6" s="1"/>
  <c r="O162" i="6"/>
  <c r="K162" i="6"/>
  <c r="J162" i="6"/>
  <c r="L162" i="6" s="1"/>
  <c r="I162" i="6"/>
  <c r="H162" i="6"/>
  <c r="M161" i="6" s="1"/>
  <c r="O161" i="6"/>
  <c r="K161" i="6"/>
  <c r="J161" i="6"/>
  <c r="I161" i="6"/>
  <c r="H161" i="6"/>
  <c r="M160" i="6" s="1"/>
  <c r="O160" i="6"/>
  <c r="K160" i="6"/>
  <c r="J160" i="6"/>
  <c r="I160" i="6"/>
  <c r="H160" i="6"/>
  <c r="O159" i="6"/>
  <c r="K159" i="6"/>
  <c r="J159" i="6"/>
  <c r="I159" i="6"/>
  <c r="H159" i="6"/>
  <c r="M158" i="6" s="1"/>
  <c r="O158" i="6"/>
  <c r="K158" i="6"/>
  <c r="J158" i="6"/>
  <c r="I158" i="6"/>
  <c r="H158" i="6"/>
  <c r="M157" i="6" s="1"/>
  <c r="O157" i="6"/>
  <c r="K157" i="6"/>
  <c r="J157" i="6"/>
  <c r="I157" i="6"/>
  <c r="H157" i="6"/>
  <c r="O156" i="6"/>
  <c r="K156" i="6"/>
  <c r="J156" i="6"/>
  <c r="I156" i="6"/>
  <c r="H156" i="6"/>
  <c r="O155" i="6"/>
  <c r="K155" i="6"/>
  <c r="J155" i="6"/>
  <c r="I155" i="6"/>
  <c r="H155" i="6"/>
  <c r="M154" i="6" s="1"/>
  <c r="O154" i="6"/>
  <c r="K154" i="6"/>
  <c r="J154" i="6"/>
  <c r="L154" i="6" s="1"/>
  <c r="I154" i="6"/>
  <c r="H154" i="6"/>
  <c r="M153" i="6" s="1"/>
  <c r="O153" i="6"/>
  <c r="K153" i="6"/>
  <c r="J153" i="6"/>
  <c r="I153" i="6"/>
  <c r="H153" i="6"/>
  <c r="O152" i="6"/>
  <c r="K152" i="6"/>
  <c r="J152" i="6"/>
  <c r="I152" i="6"/>
  <c r="H152" i="6"/>
  <c r="O151" i="6"/>
  <c r="K151" i="6"/>
  <c r="J151" i="6"/>
  <c r="I151" i="6"/>
  <c r="H151" i="6"/>
  <c r="M150" i="6" s="1"/>
  <c r="O150" i="6"/>
  <c r="K150" i="6"/>
  <c r="J150" i="6"/>
  <c r="I150" i="6"/>
  <c r="H150" i="6"/>
  <c r="O149" i="6"/>
  <c r="K149" i="6"/>
  <c r="J149" i="6"/>
  <c r="I149" i="6"/>
  <c r="H149" i="6"/>
  <c r="O148" i="6"/>
  <c r="M148" i="6"/>
  <c r="L148" i="6"/>
  <c r="K148" i="6"/>
  <c r="J148" i="6"/>
  <c r="I148" i="6"/>
  <c r="H148" i="6"/>
  <c r="O147" i="6"/>
  <c r="M147" i="6"/>
  <c r="K147" i="6"/>
  <c r="L147" i="6" s="1"/>
  <c r="J147" i="6"/>
  <c r="I147" i="6"/>
  <c r="H147" i="6"/>
  <c r="M146" i="6" s="1"/>
  <c r="O146" i="6"/>
  <c r="K146" i="6"/>
  <c r="J146" i="6"/>
  <c r="I146" i="6"/>
  <c r="H146" i="6"/>
  <c r="M145" i="6" s="1"/>
  <c r="O145" i="6"/>
  <c r="K145" i="6"/>
  <c r="J145" i="6"/>
  <c r="I145" i="6"/>
  <c r="H145" i="6"/>
  <c r="O144" i="6"/>
  <c r="M144" i="6"/>
  <c r="K144" i="6"/>
  <c r="J144" i="6"/>
  <c r="I144" i="6"/>
  <c r="H144" i="6"/>
  <c r="O143" i="6"/>
  <c r="K143" i="6"/>
  <c r="J143" i="6"/>
  <c r="I143" i="6"/>
  <c r="H143" i="6"/>
  <c r="M142" i="6" s="1"/>
  <c r="O142" i="6"/>
  <c r="K142" i="6"/>
  <c r="J142" i="6"/>
  <c r="I142" i="6"/>
  <c r="H142" i="6"/>
  <c r="O141" i="6"/>
  <c r="M141" i="6"/>
  <c r="K141" i="6"/>
  <c r="J141" i="6"/>
  <c r="I141" i="6"/>
  <c r="H141" i="6"/>
  <c r="M140" i="6" s="1"/>
  <c r="O140" i="6"/>
  <c r="K140" i="6"/>
  <c r="J140" i="6"/>
  <c r="I140" i="6"/>
  <c r="L140" i="6" s="1"/>
  <c r="H140" i="6"/>
  <c r="O139" i="6"/>
  <c r="M139" i="6"/>
  <c r="K139" i="6"/>
  <c r="J139" i="6"/>
  <c r="I139" i="6"/>
  <c r="H139" i="6"/>
  <c r="M138" i="6" s="1"/>
  <c r="O138" i="6"/>
  <c r="K138" i="6"/>
  <c r="J138" i="6"/>
  <c r="I138" i="6"/>
  <c r="H138" i="6"/>
  <c r="M137" i="6" s="1"/>
  <c r="O137" i="6"/>
  <c r="K137" i="6"/>
  <c r="J137" i="6"/>
  <c r="I137" i="6"/>
  <c r="H137" i="6"/>
  <c r="O136" i="6"/>
  <c r="M136" i="6"/>
  <c r="K136" i="6"/>
  <c r="J136" i="6"/>
  <c r="I136" i="6"/>
  <c r="H136" i="6"/>
  <c r="O135" i="6"/>
  <c r="K135" i="6"/>
  <c r="J135" i="6"/>
  <c r="I135" i="6"/>
  <c r="H135" i="6"/>
  <c r="M134" i="6" s="1"/>
  <c r="O134" i="6"/>
  <c r="K134" i="6"/>
  <c r="J134" i="6"/>
  <c r="I134" i="6"/>
  <c r="H134" i="6"/>
  <c r="O133" i="6"/>
  <c r="M133" i="6"/>
  <c r="K133" i="6"/>
  <c r="J133" i="6"/>
  <c r="I133" i="6"/>
  <c r="H133" i="6"/>
  <c r="O132" i="6"/>
  <c r="K132" i="6"/>
  <c r="J132" i="6"/>
  <c r="I132" i="6"/>
  <c r="H132" i="6"/>
  <c r="L132" i="6" s="1"/>
  <c r="O131" i="6"/>
  <c r="M131" i="6"/>
  <c r="K131" i="6"/>
  <c r="J131" i="6"/>
  <c r="I131" i="6"/>
  <c r="H131" i="6"/>
  <c r="M130" i="6" s="1"/>
  <c r="O130" i="6"/>
  <c r="K130" i="6"/>
  <c r="J130" i="6"/>
  <c r="L130" i="6" s="1"/>
  <c r="I130" i="6"/>
  <c r="H130" i="6"/>
  <c r="M129" i="6" s="1"/>
  <c r="O129" i="6"/>
  <c r="K129" i="6"/>
  <c r="J129" i="6"/>
  <c r="I129" i="6"/>
  <c r="H129" i="6"/>
  <c r="L129" i="6" s="1"/>
  <c r="O128" i="6"/>
  <c r="M128" i="6"/>
  <c r="K128" i="6"/>
  <c r="J128" i="6"/>
  <c r="I128" i="6"/>
  <c r="H128" i="6"/>
  <c r="O127" i="6"/>
  <c r="K127" i="6"/>
  <c r="J127" i="6"/>
  <c r="I127" i="6"/>
  <c r="H127" i="6"/>
  <c r="M126" i="6" s="1"/>
  <c r="O126" i="6"/>
  <c r="K126" i="6"/>
  <c r="J126" i="6"/>
  <c r="I126" i="6"/>
  <c r="H126" i="6"/>
  <c r="L126" i="6" s="1"/>
  <c r="O125" i="6"/>
  <c r="M125" i="6"/>
  <c r="K125" i="6"/>
  <c r="J125" i="6"/>
  <c r="I125" i="6"/>
  <c r="H125" i="6"/>
  <c r="O124" i="6"/>
  <c r="M124" i="6"/>
  <c r="L124" i="6"/>
  <c r="K124" i="6"/>
  <c r="J124" i="6"/>
  <c r="I124" i="6"/>
  <c r="H124" i="6"/>
  <c r="M123" i="6" s="1"/>
  <c r="O123" i="6"/>
  <c r="K123" i="6"/>
  <c r="J123" i="6"/>
  <c r="I123" i="6"/>
  <c r="H123" i="6"/>
  <c r="M122" i="6" s="1"/>
  <c r="O122" i="6"/>
  <c r="K122" i="6"/>
  <c r="J122" i="6"/>
  <c r="I122" i="6"/>
  <c r="H122" i="6"/>
  <c r="M121" i="6" s="1"/>
  <c r="O121" i="6"/>
  <c r="K121" i="6"/>
  <c r="J121" i="6"/>
  <c r="I121" i="6"/>
  <c r="H121" i="6"/>
  <c r="M120" i="6" s="1"/>
  <c r="O120" i="6"/>
  <c r="K120" i="6"/>
  <c r="J120" i="6"/>
  <c r="I120" i="6"/>
  <c r="H120" i="6"/>
  <c r="O119" i="6"/>
  <c r="K119" i="6"/>
  <c r="J119" i="6"/>
  <c r="I119" i="6"/>
  <c r="H119" i="6"/>
  <c r="M118" i="6" s="1"/>
  <c r="O118" i="6"/>
  <c r="K118" i="6"/>
  <c r="J118" i="6"/>
  <c r="I118" i="6"/>
  <c r="H118" i="6"/>
  <c r="M117" i="6" s="1"/>
  <c r="O117" i="6"/>
  <c r="K117" i="6"/>
  <c r="J117" i="6"/>
  <c r="I117" i="6"/>
  <c r="H117" i="6"/>
  <c r="O116" i="6"/>
  <c r="M116" i="6"/>
  <c r="K116" i="6"/>
  <c r="J116" i="6"/>
  <c r="I116" i="6"/>
  <c r="H116" i="6"/>
  <c r="O115" i="6"/>
  <c r="K115" i="6"/>
  <c r="J115" i="6"/>
  <c r="I115" i="6"/>
  <c r="H115" i="6"/>
  <c r="M114" i="6" s="1"/>
  <c r="O114" i="6"/>
  <c r="K114" i="6"/>
  <c r="J114" i="6"/>
  <c r="I114" i="6"/>
  <c r="H114" i="6"/>
  <c r="M113" i="6" s="1"/>
  <c r="O113" i="6"/>
  <c r="K113" i="6"/>
  <c r="J113" i="6"/>
  <c r="I113" i="6"/>
  <c r="H113" i="6"/>
  <c r="M112" i="6" s="1"/>
  <c r="O112" i="6"/>
  <c r="K112" i="6"/>
  <c r="J112" i="6"/>
  <c r="I112" i="6"/>
  <c r="H112" i="6"/>
  <c r="O111" i="6"/>
  <c r="K111" i="6"/>
  <c r="J111" i="6"/>
  <c r="I111" i="6"/>
  <c r="H111" i="6"/>
  <c r="M110" i="6" s="1"/>
  <c r="O110" i="6"/>
  <c r="K110" i="6"/>
  <c r="J110" i="6"/>
  <c r="I110" i="6"/>
  <c r="H110" i="6"/>
  <c r="O109" i="6"/>
  <c r="K109" i="6"/>
  <c r="J109" i="6"/>
  <c r="I109" i="6"/>
  <c r="H109" i="6"/>
  <c r="L109" i="6" s="1"/>
  <c r="O108" i="6"/>
  <c r="M108" i="6"/>
  <c r="K108" i="6"/>
  <c r="J108" i="6"/>
  <c r="L108" i="6" s="1"/>
  <c r="I108" i="6"/>
  <c r="H108" i="6"/>
  <c r="O107" i="6"/>
  <c r="M107" i="6"/>
  <c r="K107" i="6"/>
  <c r="L107" i="6" s="1"/>
  <c r="J107" i="6"/>
  <c r="I107" i="6"/>
  <c r="H107" i="6"/>
  <c r="M106" i="6" s="1"/>
  <c r="O106" i="6"/>
  <c r="K106" i="6"/>
  <c r="J106" i="6"/>
  <c r="I106" i="6"/>
  <c r="H106" i="6"/>
  <c r="M105" i="6" s="1"/>
  <c r="O105" i="6"/>
  <c r="K105" i="6"/>
  <c r="J105" i="6"/>
  <c r="I105" i="6"/>
  <c r="H105" i="6"/>
  <c r="O104" i="6"/>
  <c r="M104" i="6"/>
  <c r="K104" i="6"/>
  <c r="J104" i="6"/>
  <c r="I104" i="6"/>
  <c r="H104" i="6"/>
  <c r="O103" i="6"/>
  <c r="K103" i="6"/>
  <c r="J103" i="6"/>
  <c r="I103" i="6"/>
  <c r="H103" i="6"/>
  <c r="M102" i="6" s="1"/>
  <c r="O102" i="6"/>
  <c r="K102" i="6"/>
  <c r="J102" i="6"/>
  <c r="I102" i="6"/>
  <c r="H102" i="6"/>
  <c r="O101" i="6"/>
  <c r="M101" i="6"/>
  <c r="K101" i="6"/>
  <c r="J101" i="6"/>
  <c r="I101" i="6"/>
  <c r="H101" i="6"/>
  <c r="M100" i="6" s="1"/>
  <c r="O100" i="6"/>
  <c r="K100" i="6"/>
  <c r="J100" i="6"/>
  <c r="L100" i="6" s="1"/>
  <c r="I100" i="6"/>
  <c r="H100" i="6"/>
  <c r="O99" i="6"/>
  <c r="M99" i="6"/>
  <c r="K99" i="6"/>
  <c r="J99" i="6"/>
  <c r="I99" i="6"/>
  <c r="H99" i="6"/>
  <c r="M98" i="6" s="1"/>
  <c r="O98" i="6"/>
  <c r="K98" i="6"/>
  <c r="J98" i="6"/>
  <c r="L98" i="6" s="1"/>
  <c r="I98" i="6"/>
  <c r="H98" i="6"/>
  <c r="M97" i="6" s="1"/>
  <c r="O97" i="6"/>
  <c r="K97" i="6"/>
  <c r="J97" i="6"/>
  <c r="I97" i="6"/>
  <c r="H97" i="6"/>
  <c r="O96" i="6"/>
  <c r="M96" i="6"/>
  <c r="K96" i="6"/>
  <c r="J96" i="6"/>
  <c r="I96" i="6"/>
  <c r="H96" i="6"/>
  <c r="O95" i="6"/>
  <c r="K95" i="6"/>
  <c r="J95" i="6"/>
  <c r="I95" i="6"/>
  <c r="H95" i="6"/>
  <c r="M94" i="6" s="1"/>
  <c r="O94" i="6"/>
  <c r="K94" i="6"/>
  <c r="J94" i="6"/>
  <c r="I94" i="6"/>
  <c r="H94" i="6"/>
  <c r="O93" i="6"/>
  <c r="M93" i="6"/>
  <c r="K93" i="6"/>
  <c r="J93" i="6"/>
  <c r="I93" i="6"/>
  <c r="H93" i="6"/>
  <c r="O92" i="6"/>
  <c r="K92" i="6"/>
  <c r="J92" i="6"/>
  <c r="I92" i="6"/>
  <c r="H92" i="6"/>
  <c r="O91" i="6"/>
  <c r="K91" i="6"/>
  <c r="J91" i="6"/>
  <c r="I91" i="6"/>
  <c r="H91" i="6"/>
  <c r="M90" i="6" s="1"/>
  <c r="O90" i="6"/>
  <c r="K90" i="6"/>
  <c r="J90" i="6"/>
  <c r="L90" i="6" s="1"/>
  <c r="I90" i="6"/>
  <c r="H90" i="6"/>
  <c r="M89" i="6" s="1"/>
  <c r="O89" i="6"/>
  <c r="K89" i="6"/>
  <c r="J89" i="6"/>
  <c r="I89" i="6"/>
  <c r="H89" i="6"/>
  <c r="O88" i="6"/>
  <c r="K88" i="6"/>
  <c r="J88" i="6"/>
  <c r="I88" i="6"/>
  <c r="H88" i="6"/>
  <c r="O87" i="6"/>
  <c r="K87" i="6"/>
  <c r="J87" i="6"/>
  <c r="I87" i="6"/>
  <c r="H87" i="6"/>
  <c r="M86" i="6" s="1"/>
  <c r="O86" i="6"/>
  <c r="K86" i="6"/>
  <c r="J86" i="6"/>
  <c r="I86" i="6"/>
  <c r="H86" i="6"/>
  <c r="O85" i="6"/>
  <c r="K85" i="6"/>
  <c r="J85" i="6"/>
  <c r="I85" i="6"/>
  <c r="H85" i="6"/>
  <c r="O84" i="6"/>
  <c r="M84" i="6"/>
  <c r="L84" i="6"/>
  <c r="K84" i="6"/>
  <c r="J84" i="6"/>
  <c r="I84" i="6"/>
  <c r="H84" i="6"/>
  <c r="O83" i="6"/>
  <c r="M83" i="6"/>
  <c r="K83" i="6"/>
  <c r="J83" i="6"/>
  <c r="I83" i="6"/>
  <c r="H83" i="6"/>
  <c r="M82" i="6" s="1"/>
  <c r="O82" i="6"/>
  <c r="K82" i="6"/>
  <c r="J82" i="6"/>
  <c r="I82" i="6"/>
  <c r="H82" i="6"/>
  <c r="M81" i="6" s="1"/>
  <c r="O81" i="6"/>
  <c r="K81" i="6"/>
  <c r="J81" i="6"/>
  <c r="I81" i="6"/>
  <c r="H81" i="6"/>
  <c r="O80" i="6"/>
  <c r="M80" i="6"/>
  <c r="K80" i="6"/>
  <c r="J80" i="6"/>
  <c r="I80" i="6"/>
  <c r="H80" i="6"/>
  <c r="O79" i="6"/>
  <c r="K79" i="6"/>
  <c r="J79" i="6"/>
  <c r="I79" i="6"/>
  <c r="H79" i="6"/>
  <c r="M78" i="6" s="1"/>
  <c r="O78" i="6"/>
  <c r="K78" i="6"/>
  <c r="J78" i="6"/>
  <c r="I78" i="6"/>
  <c r="H78" i="6"/>
  <c r="O77" i="6"/>
  <c r="M77" i="6"/>
  <c r="K77" i="6"/>
  <c r="J77" i="6"/>
  <c r="I77" i="6"/>
  <c r="H77" i="6"/>
  <c r="O76" i="6"/>
  <c r="M76" i="6"/>
  <c r="K76" i="6"/>
  <c r="J76" i="6"/>
  <c r="I76" i="6"/>
  <c r="H76" i="6"/>
  <c r="O75" i="6"/>
  <c r="M75" i="6"/>
  <c r="K75" i="6"/>
  <c r="J75" i="6"/>
  <c r="I75" i="6"/>
  <c r="H75" i="6"/>
  <c r="M74" i="6" s="1"/>
  <c r="O74" i="6"/>
  <c r="K74" i="6"/>
  <c r="J74" i="6"/>
  <c r="I74" i="6"/>
  <c r="H74" i="6"/>
  <c r="M73" i="6" s="1"/>
  <c r="O73" i="6"/>
  <c r="K73" i="6"/>
  <c r="J73" i="6"/>
  <c r="I73" i="6"/>
  <c r="H73" i="6"/>
  <c r="O72" i="6"/>
  <c r="M72" i="6"/>
  <c r="K72" i="6"/>
  <c r="J72" i="6"/>
  <c r="I72" i="6"/>
  <c r="H72" i="6"/>
  <c r="O71" i="6"/>
  <c r="K71" i="6"/>
  <c r="J71" i="6"/>
  <c r="I71" i="6"/>
  <c r="H71" i="6"/>
  <c r="M70" i="6" s="1"/>
  <c r="O70" i="6"/>
  <c r="K70" i="6"/>
  <c r="J70" i="6"/>
  <c r="I70" i="6"/>
  <c r="H70" i="6"/>
  <c r="O69" i="6"/>
  <c r="M69" i="6"/>
  <c r="K69" i="6"/>
  <c r="J69" i="6"/>
  <c r="I69" i="6"/>
  <c r="H69" i="6"/>
  <c r="O68" i="6"/>
  <c r="K68" i="6"/>
  <c r="J68" i="6"/>
  <c r="I68" i="6"/>
  <c r="H68" i="6"/>
  <c r="L68" i="6" s="1"/>
  <c r="O67" i="6"/>
  <c r="M67" i="6"/>
  <c r="K67" i="6"/>
  <c r="J67" i="6"/>
  <c r="I67" i="6"/>
  <c r="H67" i="6"/>
  <c r="M66" i="6" s="1"/>
  <c r="O66" i="6"/>
  <c r="K66" i="6"/>
  <c r="J66" i="6"/>
  <c r="I66" i="6"/>
  <c r="H66" i="6"/>
  <c r="M65" i="6" s="1"/>
  <c r="O65" i="6"/>
  <c r="K65" i="6"/>
  <c r="J65" i="6"/>
  <c r="I65" i="6"/>
  <c r="H65" i="6"/>
  <c r="L65" i="6" s="1"/>
  <c r="O64" i="6"/>
  <c r="M64" i="6"/>
  <c r="K64" i="6"/>
  <c r="J64" i="6"/>
  <c r="I64" i="6"/>
  <c r="H64" i="6"/>
  <c r="O63" i="6"/>
  <c r="K63" i="6"/>
  <c r="J63" i="6"/>
  <c r="I63" i="6"/>
  <c r="H63" i="6"/>
  <c r="M62" i="6" s="1"/>
  <c r="O62" i="6"/>
  <c r="K62" i="6"/>
  <c r="J62" i="6"/>
  <c r="I62" i="6"/>
  <c r="H62" i="6"/>
  <c r="L62" i="6" s="1"/>
  <c r="O61" i="6"/>
  <c r="M61" i="6"/>
  <c r="K61" i="6"/>
  <c r="J61" i="6"/>
  <c r="I61" i="6"/>
  <c r="H61" i="6"/>
  <c r="O60" i="6"/>
  <c r="M60" i="6"/>
  <c r="K60" i="6"/>
  <c r="L60" i="6" s="1"/>
  <c r="J60" i="6"/>
  <c r="I60" i="6"/>
  <c r="H60" i="6"/>
  <c r="M59" i="6" s="1"/>
  <c r="O59" i="6"/>
  <c r="K59" i="6"/>
  <c r="J59" i="6"/>
  <c r="I59" i="6"/>
  <c r="H59" i="6"/>
  <c r="M58" i="6" s="1"/>
  <c r="O58" i="6"/>
  <c r="K58" i="6"/>
  <c r="J58" i="6"/>
  <c r="I58" i="6"/>
  <c r="H58" i="6"/>
  <c r="M57" i="6" s="1"/>
  <c r="O57" i="6"/>
  <c r="K57" i="6"/>
  <c r="J57" i="6"/>
  <c r="I57" i="6"/>
  <c r="H57" i="6"/>
  <c r="M56" i="6" s="1"/>
  <c r="O56" i="6"/>
  <c r="K56" i="6"/>
  <c r="J56" i="6"/>
  <c r="I56" i="6"/>
  <c r="H56" i="6"/>
  <c r="O55" i="6"/>
  <c r="K55" i="6"/>
  <c r="J55" i="6"/>
  <c r="I55" i="6"/>
  <c r="H55" i="6"/>
  <c r="M54" i="6" s="1"/>
  <c r="O54" i="6"/>
  <c r="K54" i="6"/>
  <c r="J54" i="6"/>
  <c r="I54" i="6"/>
  <c r="H54" i="6"/>
  <c r="M53" i="6" s="1"/>
  <c r="O53" i="6"/>
  <c r="K53" i="6"/>
  <c r="J53" i="6"/>
  <c r="I53" i="6"/>
  <c r="H53" i="6"/>
  <c r="O52" i="6"/>
  <c r="M52" i="6"/>
  <c r="K52" i="6"/>
  <c r="J52" i="6"/>
  <c r="I52" i="6"/>
  <c r="H52" i="6"/>
  <c r="O51" i="6"/>
  <c r="K51" i="6"/>
  <c r="J51" i="6"/>
  <c r="I51" i="6"/>
  <c r="H51" i="6"/>
  <c r="M50" i="6" s="1"/>
  <c r="O50" i="6"/>
  <c r="K50" i="6"/>
  <c r="J50" i="6"/>
  <c r="I50" i="6"/>
  <c r="H50" i="6"/>
  <c r="M49" i="6" s="1"/>
  <c r="O49" i="6"/>
  <c r="K49" i="6"/>
  <c r="J49" i="6"/>
  <c r="I49" i="6"/>
  <c r="H49" i="6"/>
  <c r="M48" i="6" s="1"/>
  <c r="O48" i="6"/>
  <c r="K48" i="6"/>
  <c r="J48" i="6"/>
  <c r="I48" i="6"/>
  <c r="H48" i="6"/>
  <c r="O47" i="6"/>
  <c r="K47" i="6"/>
  <c r="J47" i="6"/>
  <c r="I47" i="6"/>
  <c r="H47" i="6"/>
  <c r="M46" i="6" s="1"/>
  <c r="O46" i="6"/>
  <c r="K46" i="6"/>
  <c r="J46" i="6"/>
  <c r="I46" i="6"/>
  <c r="H46" i="6"/>
  <c r="O45" i="6"/>
  <c r="K45" i="6"/>
  <c r="J45" i="6"/>
  <c r="I45" i="6"/>
  <c r="H45" i="6"/>
  <c r="L45" i="6" s="1"/>
  <c r="O44" i="6"/>
  <c r="M44" i="6"/>
  <c r="K44" i="6"/>
  <c r="J44" i="6"/>
  <c r="I44" i="6"/>
  <c r="L44" i="6" s="1"/>
  <c r="H44" i="6"/>
  <c r="O43" i="6"/>
  <c r="M43" i="6"/>
  <c r="K43" i="6"/>
  <c r="L43" i="6" s="1"/>
  <c r="J43" i="6"/>
  <c r="I43" i="6"/>
  <c r="H43" i="6"/>
  <c r="M42" i="6" s="1"/>
  <c r="O42" i="6"/>
  <c r="K42" i="6"/>
  <c r="J42" i="6"/>
  <c r="I42" i="6"/>
  <c r="H42" i="6"/>
  <c r="M41" i="6" s="1"/>
  <c r="O41" i="6"/>
  <c r="K41" i="6"/>
  <c r="J41" i="6"/>
  <c r="I41" i="6"/>
  <c r="H41" i="6"/>
  <c r="O40" i="6"/>
  <c r="M40" i="6"/>
  <c r="K40" i="6"/>
  <c r="J40" i="6"/>
  <c r="I40" i="6"/>
  <c r="H40" i="6"/>
  <c r="O39" i="6"/>
  <c r="K39" i="6"/>
  <c r="J39" i="6"/>
  <c r="I39" i="6"/>
  <c r="H39" i="6"/>
  <c r="M38" i="6" s="1"/>
  <c r="O38" i="6"/>
  <c r="K38" i="6"/>
  <c r="J38" i="6"/>
  <c r="I38" i="6"/>
  <c r="H38" i="6"/>
  <c r="O37" i="6"/>
  <c r="M37" i="6"/>
  <c r="K37" i="6"/>
  <c r="J37" i="6"/>
  <c r="I37" i="6"/>
  <c r="H37" i="6"/>
  <c r="M36" i="6" s="1"/>
  <c r="O36" i="6"/>
  <c r="K36" i="6"/>
  <c r="J36" i="6"/>
  <c r="I36" i="6"/>
  <c r="H36" i="6"/>
  <c r="O35" i="6"/>
  <c r="M35" i="6"/>
  <c r="K35" i="6"/>
  <c r="J35" i="6"/>
  <c r="I35" i="6"/>
  <c r="H35" i="6"/>
  <c r="M34" i="6" s="1"/>
  <c r="O34" i="6"/>
  <c r="K34" i="6"/>
  <c r="J34" i="6"/>
  <c r="L34" i="6" s="1"/>
  <c r="I34" i="6"/>
  <c r="H34" i="6"/>
  <c r="M33" i="6" s="1"/>
  <c r="O33" i="6"/>
  <c r="K33" i="6"/>
  <c r="J33" i="6"/>
  <c r="I33" i="6"/>
  <c r="H33" i="6"/>
  <c r="O32" i="6"/>
  <c r="M32" i="6"/>
  <c r="K32" i="6"/>
  <c r="J32" i="6"/>
  <c r="I32" i="6"/>
  <c r="H32" i="6"/>
  <c r="O31" i="6"/>
  <c r="K31" i="6"/>
  <c r="J31" i="6"/>
  <c r="I31" i="6"/>
  <c r="H31" i="6"/>
  <c r="M30" i="6" s="1"/>
  <c r="O30" i="6"/>
  <c r="K30" i="6"/>
  <c r="J30" i="6"/>
  <c r="I30" i="6"/>
  <c r="H30" i="6"/>
  <c r="M29" i="6" s="1"/>
  <c r="O29" i="6"/>
  <c r="K29" i="6"/>
  <c r="J29" i="6"/>
  <c r="I29" i="6"/>
  <c r="H29" i="6"/>
  <c r="O28" i="6"/>
  <c r="K28" i="6"/>
  <c r="J28" i="6"/>
  <c r="I28" i="6"/>
  <c r="H28" i="6"/>
  <c r="O27" i="6"/>
  <c r="K27" i="6"/>
  <c r="J27" i="6"/>
  <c r="I27" i="6"/>
  <c r="H27" i="6"/>
  <c r="M26" i="6" s="1"/>
  <c r="O26" i="6"/>
  <c r="K26" i="6"/>
  <c r="J26" i="6"/>
  <c r="I26" i="6"/>
  <c r="H26" i="6"/>
  <c r="M25" i="6" s="1"/>
  <c r="O25" i="6"/>
  <c r="K25" i="6"/>
  <c r="J25" i="6"/>
  <c r="I25" i="6"/>
  <c r="H25" i="6"/>
  <c r="O24" i="6"/>
  <c r="K24" i="6"/>
  <c r="J24" i="6"/>
  <c r="I24" i="6"/>
  <c r="H24" i="6"/>
  <c r="O23" i="6"/>
  <c r="K23" i="6"/>
  <c r="J23" i="6"/>
  <c r="I23" i="6"/>
  <c r="H23" i="6"/>
  <c r="M22" i="6" s="1"/>
  <c r="O22" i="6"/>
  <c r="K22" i="6"/>
  <c r="J22" i="6"/>
  <c r="I22" i="6"/>
  <c r="H22" i="6"/>
  <c r="O21" i="6"/>
  <c r="K21" i="6"/>
  <c r="J21" i="6"/>
  <c r="I21" i="6"/>
  <c r="H21" i="6"/>
  <c r="O20" i="6"/>
  <c r="M20" i="6"/>
  <c r="L20" i="6"/>
  <c r="K20" i="6"/>
  <c r="J20" i="6"/>
  <c r="I20" i="6"/>
  <c r="H20" i="6"/>
  <c r="O19" i="6"/>
  <c r="M19" i="6"/>
  <c r="K19" i="6"/>
  <c r="J19" i="6"/>
  <c r="I19" i="6"/>
  <c r="H19" i="6"/>
  <c r="M18" i="6" s="1"/>
  <c r="O18" i="6"/>
  <c r="K18" i="6"/>
  <c r="J18" i="6"/>
  <c r="I18" i="6"/>
  <c r="H18" i="6"/>
  <c r="M17" i="6" s="1"/>
  <c r="O17" i="6"/>
  <c r="K17" i="6"/>
  <c r="J17" i="6"/>
  <c r="I17" i="6"/>
  <c r="H17" i="6"/>
  <c r="O16" i="6"/>
  <c r="M16" i="6"/>
  <c r="K16" i="6"/>
  <c r="J16" i="6"/>
  <c r="I16" i="6"/>
  <c r="H16" i="6"/>
  <c r="O15" i="6"/>
  <c r="K15" i="6"/>
  <c r="J15" i="6"/>
  <c r="I15" i="6"/>
  <c r="H15" i="6"/>
  <c r="M14" i="6" s="1"/>
  <c r="O14" i="6"/>
  <c r="K14" i="6"/>
  <c r="J14" i="6"/>
  <c r="I14" i="6"/>
  <c r="H14" i="6"/>
  <c r="O13" i="6"/>
  <c r="M13" i="6"/>
  <c r="K13" i="6"/>
  <c r="J13" i="6"/>
  <c r="I13" i="6"/>
  <c r="H13" i="6"/>
  <c r="M12" i="6" s="1"/>
  <c r="O12" i="6"/>
  <c r="K12" i="6"/>
  <c r="J12" i="6"/>
  <c r="I12" i="6"/>
  <c r="H12" i="6"/>
  <c r="M11" i="6" s="1"/>
  <c r="K11" i="6"/>
  <c r="J11" i="6"/>
  <c r="I11" i="6"/>
  <c r="H11" i="6"/>
  <c r="K10" i="6"/>
  <c r="J10" i="6"/>
  <c r="I10" i="6"/>
  <c r="H10" i="6"/>
  <c r="M9" i="6"/>
  <c r="L9" i="6"/>
  <c r="J2" i="6"/>
  <c r="I2" i="6"/>
  <c r="H2" i="6"/>
  <c r="H256" i="5"/>
  <c r="G256" i="5"/>
  <c r="H255" i="5"/>
  <c r="G255" i="5"/>
  <c r="H254" i="5"/>
  <c r="H253" i="5"/>
  <c r="H252" i="5"/>
  <c r="G252" i="5"/>
  <c r="H251" i="5"/>
  <c r="H250" i="5"/>
  <c r="H249" i="5"/>
  <c r="H248" i="5"/>
  <c r="H247" i="5"/>
  <c r="G247" i="5"/>
  <c r="H246" i="5"/>
  <c r="G246" i="5"/>
  <c r="H245" i="5"/>
  <c r="H244" i="5"/>
  <c r="H243" i="5"/>
  <c r="G243" i="5"/>
  <c r="H242" i="5"/>
  <c r="G242" i="5"/>
  <c r="H241" i="5"/>
  <c r="G241" i="5"/>
  <c r="H240" i="5"/>
  <c r="G240" i="5"/>
  <c r="H239" i="5"/>
  <c r="G239" i="5"/>
  <c r="H238" i="5"/>
  <c r="H237" i="5"/>
  <c r="H236" i="5"/>
  <c r="G236" i="5"/>
  <c r="H235" i="5"/>
  <c r="G235" i="5"/>
  <c r="H234" i="5"/>
  <c r="G234" i="5"/>
  <c r="H233" i="5"/>
  <c r="G233" i="5"/>
  <c r="H232" i="5"/>
  <c r="H231" i="5"/>
  <c r="H230" i="5"/>
  <c r="G230" i="5"/>
  <c r="H229" i="5"/>
  <c r="G229" i="5"/>
  <c r="H228" i="5"/>
  <c r="G228" i="5"/>
  <c r="H227" i="5"/>
  <c r="G227" i="5"/>
  <c r="H226" i="5"/>
  <c r="G226" i="5"/>
  <c r="H225" i="5"/>
  <c r="G225" i="5"/>
  <c r="H224" i="5"/>
  <c r="H223" i="5"/>
  <c r="H222" i="5"/>
  <c r="G222" i="5"/>
  <c r="H221" i="5"/>
  <c r="G221" i="5"/>
  <c r="H220" i="5"/>
  <c r="G220" i="5"/>
  <c r="H219" i="5"/>
  <c r="G219" i="5"/>
  <c r="H218" i="5"/>
  <c r="H217" i="5"/>
  <c r="H216" i="5"/>
  <c r="G216" i="5"/>
  <c r="H215" i="5"/>
  <c r="G215" i="5"/>
  <c r="H214" i="5"/>
  <c r="G214" i="5"/>
  <c r="H213" i="5"/>
  <c r="G213" i="5"/>
  <c r="H212" i="5"/>
  <c r="G212" i="5"/>
  <c r="H211" i="5"/>
  <c r="G211" i="5"/>
  <c r="H210" i="5"/>
  <c r="G210" i="5"/>
  <c r="H209" i="5"/>
  <c r="G209" i="5"/>
  <c r="H208" i="5"/>
  <c r="G208" i="5"/>
  <c r="H207" i="5"/>
  <c r="H206" i="5"/>
  <c r="H205" i="5"/>
  <c r="H204" i="5"/>
  <c r="H203" i="5"/>
  <c r="G203" i="5"/>
  <c r="H202" i="5"/>
  <c r="G202" i="5"/>
  <c r="H201" i="5"/>
  <c r="G201" i="5"/>
  <c r="H200" i="5"/>
  <c r="G200" i="5"/>
  <c r="H199" i="5"/>
  <c r="H198" i="5"/>
  <c r="H197" i="5"/>
  <c r="G197" i="5"/>
  <c r="H196" i="5"/>
  <c r="G196" i="5"/>
  <c r="H195" i="5"/>
  <c r="G195" i="5"/>
  <c r="H194" i="5"/>
  <c r="H193" i="5"/>
  <c r="H192" i="5"/>
  <c r="G192" i="5"/>
  <c r="H191" i="5"/>
  <c r="G191" i="5"/>
  <c r="H190" i="5"/>
  <c r="G190" i="5"/>
  <c r="H189" i="5"/>
  <c r="G189" i="5"/>
  <c r="H188" i="5"/>
  <c r="G188" i="5"/>
  <c r="H187" i="5"/>
  <c r="G187" i="5"/>
  <c r="H186" i="5"/>
  <c r="G186" i="5"/>
  <c r="H185" i="5"/>
  <c r="G185" i="5"/>
  <c r="H184" i="5"/>
  <c r="H183" i="5"/>
  <c r="H182" i="5"/>
  <c r="G182" i="5"/>
  <c r="H181" i="5"/>
  <c r="G181" i="5"/>
  <c r="H180" i="5"/>
  <c r="G180" i="5"/>
  <c r="H179" i="5"/>
  <c r="G179" i="5"/>
  <c r="H178" i="5"/>
  <c r="G178" i="5"/>
  <c r="H177" i="5"/>
  <c r="G177" i="5"/>
  <c r="H176" i="5"/>
  <c r="G176" i="5"/>
  <c r="H175" i="5"/>
  <c r="G175" i="5"/>
  <c r="H174" i="5"/>
  <c r="H173" i="5"/>
  <c r="H172" i="5"/>
  <c r="H171" i="5"/>
  <c r="H170" i="5"/>
  <c r="G170" i="5"/>
  <c r="H169" i="5"/>
  <c r="G169" i="5"/>
  <c r="H168" i="5"/>
  <c r="G168" i="5"/>
  <c r="H167" i="5"/>
  <c r="G167" i="5"/>
  <c r="H166" i="5"/>
  <c r="G166" i="5"/>
  <c r="H165" i="5"/>
  <c r="G165" i="5"/>
  <c r="H164" i="5"/>
  <c r="G164" i="5"/>
  <c r="H163" i="5"/>
  <c r="G163" i="5"/>
  <c r="H162" i="5"/>
  <c r="H161" i="5"/>
  <c r="H160" i="5"/>
  <c r="G160" i="5"/>
  <c r="H159" i="5"/>
  <c r="G159" i="5"/>
  <c r="H158" i="5"/>
  <c r="G158" i="5"/>
  <c r="H157" i="5"/>
  <c r="G157" i="5"/>
  <c r="H156" i="5"/>
  <c r="H155" i="5"/>
  <c r="H154" i="5"/>
  <c r="G154" i="5"/>
  <c r="H153" i="5"/>
  <c r="G153" i="5"/>
  <c r="H152" i="5"/>
  <c r="H151" i="5"/>
  <c r="H150" i="5"/>
  <c r="G150" i="5"/>
  <c r="H149" i="5"/>
  <c r="G149" i="5"/>
  <c r="H148" i="5"/>
  <c r="G148" i="5"/>
  <c r="H147" i="5"/>
  <c r="G147" i="5"/>
  <c r="H146" i="5"/>
  <c r="G146" i="5"/>
  <c r="H145" i="5"/>
  <c r="G145" i="5"/>
  <c r="H144" i="5"/>
  <c r="G144" i="5"/>
  <c r="H143" i="5"/>
  <c r="H142" i="5"/>
  <c r="H141" i="5"/>
  <c r="G141" i="5"/>
  <c r="H140" i="5"/>
  <c r="G140" i="5"/>
  <c r="H139" i="5"/>
  <c r="G139" i="5"/>
  <c r="H138" i="5"/>
  <c r="G138" i="5"/>
  <c r="H137" i="5"/>
  <c r="H136" i="5"/>
  <c r="H135" i="5"/>
  <c r="G135" i="5"/>
  <c r="H134" i="5"/>
  <c r="G134" i="5"/>
  <c r="H133" i="5"/>
  <c r="G133" i="5"/>
  <c r="H132" i="5"/>
  <c r="G132" i="5"/>
  <c r="H131" i="5"/>
  <c r="G131" i="5"/>
  <c r="H130" i="5"/>
  <c r="H129" i="5"/>
  <c r="H128" i="5"/>
  <c r="H127" i="5"/>
  <c r="H126" i="5"/>
  <c r="G126" i="5"/>
  <c r="H125" i="5"/>
  <c r="G125" i="5"/>
  <c r="H124" i="5"/>
  <c r="G124" i="5"/>
  <c r="H123" i="5"/>
  <c r="G123" i="5"/>
  <c r="H122" i="5"/>
  <c r="G122" i="5"/>
  <c r="H121" i="5"/>
  <c r="G121" i="5"/>
  <c r="H120" i="5"/>
  <c r="H119" i="5"/>
  <c r="H118" i="5"/>
  <c r="G118" i="5"/>
  <c r="H117" i="5"/>
  <c r="G117" i="5"/>
  <c r="H116" i="5"/>
  <c r="G116" i="5"/>
  <c r="H115" i="5"/>
  <c r="G115" i="5"/>
  <c r="H114" i="5"/>
  <c r="H113" i="5"/>
  <c r="H112" i="5"/>
  <c r="G112" i="5"/>
  <c r="H111" i="5"/>
  <c r="G111" i="5"/>
  <c r="H110" i="5"/>
  <c r="G110" i="5"/>
  <c r="H109" i="5"/>
  <c r="G109" i="5"/>
  <c r="H108" i="5"/>
  <c r="G108" i="5"/>
  <c r="H107" i="5"/>
  <c r="G107" i="5"/>
  <c r="H106" i="5"/>
  <c r="G106" i="5"/>
  <c r="H105" i="5"/>
  <c r="G105" i="5"/>
  <c r="H104" i="5"/>
  <c r="H103" i="5"/>
  <c r="H102" i="5"/>
  <c r="H101" i="5"/>
  <c r="G101" i="5"/>
  <c r="H100" i="5"/>
  <c r="G100" i="5"/>
  <c r="H99" i="5"/>
  <c r="G99" i="5"/>
  <c r="H98" i="5"/>
  <c r="H97" i="5"/>
  <c r="H96" i="5"/>
  <c r="G96" i="5"/>
  <c r="H95" i="5"/>
  <c r="G95" i="5"/>
  <c r="H94" i="5"/>
  <c r="G94" i="5"/>
  <c r="H93" i="5"/>
  <c r="H92" i="5"/>
  <c r="H91" i="5"/>
  <c r="G91" i="5"/>
  <c r="H90" i="5"/>
  <c r="G90" i="5"/>
  <c r="H89" i="5"/>
  <c r="G89" i="5"/>
  <c r="H88" i="5"/>
  <c r="G88" i="5"/>
  <c r="H87" i="5"/>
  <c r="H86" i="5"/>
  <c r="H85" i="5"/>
  <c r="G85" i="5"/>
  <c r="H84" i="5"/>
  <c r="G84" i="5"/>
  <c r="H83" i="5"/>
  <c r="G83" i="5"/>
  <c r="H82" i="5"/>
  <c r="G82" i="5"/>
  <c r="H81" i="5"/>
  <c r="G81" i="5"/>
  <c r="H80" i="5"/>
  <c r="G80" i="5"/>
  <c r="H79" i="5"/>
  <c r="G79" i="5"/>
  <c r="H78" i="5"/>
  <c r="H77" i="5"/>
  <c r="H76" i="5"/>
  <c r="G76" i="5"/>
  <c r="H75" i="5"/>
  <c r="G75" i="5"/>
  <c r="H74" i="5"/>
  <c r="G74" i="5"/>
  <c r="H73" i="5"/>
  <c r="G73" i="5"/>
  <c r="H72" i="5"/>
  <c r="G72" i="5"/>
  <c r="H71" i="5"/>
  <c r="G71" i="5"/>
  <c r="H70" i="5"/>
  <c r="G70" i="5"/>
  <c r="H69" i="5"/>
  <c r="H68" i="5"/>
  <c r="H67" i="5"/>
  <c r="G67" i="5"/>
  <c r="H66" i="5"/>
  <c r="G66" i="5"/>
  <c r="H65" i="5"/>
  <c r="G65" i="5"/>
  <c r="H64" i="5"/>
  <c r="G64" i="5"/>
  <c r="H63" i="5"/>
  <c r="G63" i="5"/>
  <c r="H62" i="5"/>
  <c r="H61" i="5"/>
  <c r="H60" i="5"/>
  <c r="G60" i="5"/>
  <c r="H59" i="5"/>
  <c r="G59" i="5"/>
  <c r="H58" i="5"/>
  <c r="G58" i="5"/>
  <c r="H57" i="5"/>
  <c r="G57" i="5"/>
  <c r="H56" i="5"/>
  <c r="H55" i="5"/>
  <c r="H54" i="5"/>
  <c r="H53" i="5"/>
  <c r="H52" i="5"/>
  <c r="H51" i="5"/>
  <c r="H50" i="5"/>
  <c r="H49" i="5"/>
  <c r="H48" i="5"/>
  <c r="H47" i="5"/>
  <c r="G47" i="5"/>
  <c r="H46" i="5"/>
  <c r="G46" i="5"/>
  <c r="H45" i="5"/>
  <c r="G45" i="5"/>
  <c r="H44" i="5"/>
  <c r="G44" i="5"/>
  <c r="H43" i="5"/>
  <c r="G43" i="5"/>
  <c r="H42" i="5"/>
  <c r="H41" i="5"/>
  <c r="H40" i="5"/>
  <c r="G40" i="5"/>
  <c r="H39" i="5"/>
  <c r="G39" i="5"/>
  <c r="H38" i="5"/>
  <c r="G38" i="5"/>
  <c r="H37" i="5"/>
  <c r="G37" i="5"/>
  <c r="H36" i="5"/>
  <c r="G36" i="5"/>
  <c r="H35" i="5"/>
  <c r="H34" i="5"/>
  <c r="H33" i="5"/>
  <c r="G33" i="5"/>
  <c r="H32" i="5"/>
  <c r="G32" i="5"/>
  <c r="H31" i="5"/>
  <c r="G31" i="5"/>
  <c r="H30" i="5"/>
  <c r="G30" i="5"/>
  <c r="H29" i="5"/>
  <c r="G29" i="5"/>
  <c r="H28" i="5"/>
  <c r="H27" i="5"/>
  <c r="H26" i="5"/>
  <c r="G26" i="5"/>
  <c r="H25" i="5"/>
  <c r="G25" i="5"/>
  <c r="H24" i="5"/>
  <c r="G24" i="5"/>
  <c r="H23" i="5"/>
  <c r="G23" i="5"/>
  <c r="H22" i="5"/>
  <c r="G22" i="5"/>
  <c r="H21" i="5"/>
  <c r="H20" i="5"/>
  <c r="H19" i="5"/>
  <c r="G19" i="5"/>
  <c r="H18" i="5"/>
  <c r="G18" i="5"/>
  <c r="H17" i="5"/>
  <c r="G17" i="5"/>
  <c r="H16" i="5"/>
  <c r="G16" i="5"/>
  <c r="H15" i="5"/>
  <c r="H14" i="5"/>
  <c r="H13" i="5"/>
  <c r="H12" i="5"/>
  <c r="G9" i="5"/>
  <c r="G5" i="5"/>
  <c r="C5" i="5"/>
  <c r="K258" i="4"/>
  <c r="J258" i="4"/>
  <c r="I258" i="4"/>
  <c r="H258" i="4"/>
  <c r="K257" i="4"/>
  <c r="J257" i="4"/>
  <c r="I257" i="4"/>
  <c r="H257" i="4"/>
  <c r="K256" i="4"/>
  <c r="J256" i="4"/>
  <c r="I256" i="4"/>
  <c r="H256" i="4"/>
  <c r="M255" i="4" s="1"/>
  <c r="K255" i="4"/>
  <c r="J255" i="4"/>
  <c r="I255" i="4"/>
  <c r="H255" i="4"/>
  <c r="M254" i="4"/>
  <c r="K254" i="4"/>
  <c r="J254" i="4"/>
  <c r="I254" i="4"/>
  <c r="H254" i="4"/>
  <c r="K253" i="4"/>
  <c r="L252" i="4" s="1"/>
  <c r="J253" i="4"/>
  <c r="I253" i="4"/>
  <c r="H253" i="4"/>
  <c r="M252" i="4" s="1"/>
  <c r="K252" i="4"/>
  <c r="J252" i="4"/>
  <c r="I252" i="4"/>
  <c r="H252" i="4"/>
  <c r="M251" i="4" s="1"/>
  <c r="K251" i="4"/>
  <c r="J251" i="4"/>
  <c r="I251" i="4"/>
  <c r="H251" i="4"/>
  <c r="M250" i="4"/>
  <c r="K250" i="4"/>
  <c r="J250" i="4"/>
  <c r="I250" i="4"/>
  <c r="H250" i="4"/>
  <c r="K249" i="4"/>
  <c r="J249" i="4"/>
  <c r="I249" i="4"/>
  <c r="H249" i="4"/>
  <c r="M248" i="4"/>
  <c r="L248" i="4"/>
  <c r="K248" i="4"/>
  <c r="J248" i="4"/>
  <c r="I248" i="4"/>
  <c r="L247" i="4" s="1"/>
  <c r="H248" i="4"/>
  <c r="M247" i="4" s="1"/>
  <c r="K247" i="4"/>
  <c r="J247" i="4"/>
  <c r="I247" i="4"/>
  <c r="H247" i="4"/>
  <c r="M246" i="4" s="1"/>
  <c r="K246" i="4"/>
  <c r="J246" i="4"/>
  <c r="I246" i="4"/>
  <c r="H246" i="4"/>
  <c r="K245" i="4"/>
  <c r="J245" i="4"/>
  <c r="I245" i="4"/>
  <c r="L244" i="4" s="1"/>
  <c r="H245" i="4"/>
  <c r="M244" i="4" s="1"/>
  <c r="K244" i="4"/>
  <c r="J244" i="4"/>
  <c r="I244" i="4"/>
  <c r="H244" i="4"/>
  <c r="M243" i="4" s="1"/>
  <c r="K243" i="4"/>
  <c r="J243" i="4"/>
  <c r="I243" i="4"/>
  <c r="H243" i="4"/>
  <c r="M242" i="4" s="1"/>
  <c r="K242" i="4"/>
  <c r="J242" i="4"/>
  <c r="I242" i="4"/>
  <c r="H242" i="4"/>
  <c r="K241" i="4"/>
  <c r="J241" i="4"/>
  <c r="I241" i="4"/>
  <c r="H241" i="4"/>
  <c r="M240" i="4"/>
  <c r="L240" i="4"/>
  <c r="K240" i="4"/>
  <c r="J240" i="4"/>
  <c r="I240" i="4"/>
  <c r="H240" i="4"/>
  <c r="M239" i="4" s="1"/>
  <c r="K239" i="4"/>
  <c r="J239" i="4"/>
  <c r="I239" i="4"/>
  <c r="H239" i="4"/>
  <c r="M238" i="4"/>
  <c r="K238" i="4"/>
  <c r="J238" i="4"/>
  <c r="I238" i="4"/>
  <c r="H238" i="4"/>
  <c r="K237" i="4"/>
  <c r="J237" i="4"/>
  <c r="I237" i="4"/>
  <c r="H237" i="4"/>
  <c r="L236" i="4" s="1"/>
  <c r="M236" i="4"/>
  <c r="K236" i="4"/>
  <c r="J236" i="4"/>
  <c r="I236" i="4"/>
  <c r="H236" i="4"/>
  <c r="M235" i="4" s="1"/>
  <c r="K235" i="4"/>
  <c r="J235" i="4"/>
  <c r="I235" i="4"/>
  <c r="H235" i="4"/>
  <c r="K234" i="4"/>
  <c r="J234" i="4"/>
  <c r="I234" i="4"/>
  <c r="H234" i="4"/>
  <c r="K233" i="4"/>
  <c r="J233" i="4"/>
  <c r="I233" i="4"/>
  <c r="H233" i="4"/>
  <c r="M232" i="4"/>
  <c r="K232" i="4"/>
  <c r="J232" i="4"/>
  <c r="I232" i="4"/>
  <c r="L231" i="4" s="1"/>
  <c r="H232" i="4"/>
  <c r="M231" i="4" s="1"/>
  <c r="K231" i="4"/>
  <c r="J231" i="4"/>
  <c r="I231" i="4"/>
  <c r="H231" i="4"/>
  <c r="M230" i="4" s="1"/>
  <c r="K230" i="4"/>
  <c r="J230" i="4"/>
  <c r="I230" i="4"/>
  <c r="H230" i="4"/>
  <c r="K229" i="4"/>
  <c r="J229" i="4"/>
  <c r="I229" i="4"/>
  <c r="H229" i="4"/>
  <c r="M228" i="4"/>
  <c r="L228" i="4"/>
  <c r="K228" i="4"/>
  <c r="J228" i="4"/>
  <c r="I228" i="4"/>
  <c r="H228" i="4"/>
  <c r="M227" i="4" s="1"/>
  <c r="K227" i="4"/>
  <c r="J227" i="4"/>
  <c r="I227" i="4"/>
  <c r="H227" i="4"/>
  <c r="L226" i="4" s="1"/>
  <c r="K226" i="4"/>
  <c r="J226" i="4"/>
  <c r="I226" i="4"/>
  <c r="H226" i="4"/>
  <c r="K225" i="4"/>
  <c r="J225" i="4"/>
  <c r="I225" i="4"/>
  <c r="H225" i="4"/>
  <c r="M224" i="4" s="1"/>
  <c r="K224" i="4"/>
  <c r="J224" i="4"/>
  <c r="I224" i="4"/>
  <c r="H224" i="4"/>
  <c r="M223" i="4" s="1"/>
  <c r="K223" i="4"/>
  <c r="J223" i="4"/>
  <c r="I223" i="4"/>
  <c r="H223" i="4"/>
  <c r="M222" i="4" s="1"/>
  <c r="K222" i="4"/>
  <c r="J222" i="4"/>
  <c r="I222" i="4"/>
  <c r="H222" i="4"/>
  <c r="K221" i="4"/>
  <c r="J221" i="4"/>
  <c r="I221" i="4"/>
  <c r="H221" i="4"/>
  <c r="M220" i="4"/>
  <c r="K220" i="4"/>
  <c r="J220" i="4"/>
  <c r="I220" i="4"/>
  <c r="H220" i="4"/>
  <c r="M219" i="4" s="1"/>
  <c r="K219" i="4"/>
  <c r="J219" i="4"/>
  <c r="I219" i="4"/>
  <c r="H219" i="4"/>
  <c r="M218" i="4" s="1"/>
  <c r="K218" i="4"/>
  <c r="J218" i="4"/>
  <c r="I218" i="4"/>
  <c r="H218" i="4"/>
  <c r="M217" i="4" s="1"/>
  <c r="K217" i="4"/>
  <c r="J217" i="4"/>
  <c r="I217" i="4"/>
  <c r="H217" i="4"/>
  <c r="M216" i="4"/>
  <c r="L216" i="4"/>
  <c r="K216" i="4"/>
  <c r="J216" i="4"/>
  <c r="I216" i="4"/>
  <c r="H216" i="4"/>
  <c r="M215" i="4" s="1"/>
  <c r="K215" i="4"/>
  <c r="J215" i="4"/>
  <c r="I215" i="4"/>
  <c r="H215" i="4"/>
  <c r="L214" i="4" s="1"/>
  <c r="K214" i="4"/>
  <c r="J214" i="4"/>
  <c r="I214" i="4"/>
  <c r="H214" i="4"/>
  <c r="M213" i="4"/>
  <c r="K213" i="4"/>
  <c r="J213" i="4"/>
  <c r="I213" i="4"/>
  <c r="H213" i="4"/>
  <c r="M212" i="4" s="1"/>
  <c r="K212" i="4"/>
  <c r="J212" i="4"/>
  <c r="I212" i="4"/>
  <c r="H212" i="4"/>
  <c r="M211" i="4" s="1"/>
  <c r="K211" i="4"/>
  <c r="J211" i="4"/>
  <c r="I211" i="4"/>
  <c r="H211" i="4"/>
  <c r="M210" i="4"/>
  <c r="K210" i="4"/>
  <c r="J210" i="4"/>
  <c r="I210" i="4"/>
  <c r="H210" i="4"/>
  <c r="M209" i="4"/>
  <c r="K209" i="4"/>
  <c r="J209" i="4"/>
  <c r="I209" i="4"/>
  <c r="H209" i="4"/>
  <c r="M208" i="4"/>
  <c r="L208" i="4"/>
  <c r="K208" i="4"/>
  <c r="J208" i="4"/>
  <c r="I208" i="4"/>
  <c r="H208" i="4"/>
  <c r="M207" i="4" s="1"/>
  <c r="K207" i="4"/>
  <c r="J207" i="4"/>
  <c r="I207" i="4"/>
  <c r="H207" i="4"/>
  <c r="L206" i="4" s="1"/>
  <c r="M206" i="4"/>
  <c r="K206" i="4"/>
  <c r="J206" i="4"/>
  <c r="I206" i="4"/>
  <c r="H206" i="4"/>
  <c r="M205" i="4" s="1"/>
  <c r="K205" i="4"/>
  <c r="J205" i="4"/>
  <c r="I205" i="4"/>
  <c r="H205" i="4"/>
  <c r="M204" i="4" s="1"/>
  <c r="K204" i="4"/>
  <c r="J204" i="4"/>
  <c r="I204" i="4"/>
  <c r="H204" i="4"/>
  <c r="M203" i="4" s="1"/>
  <c r="K203" i="4"/>
  <c r="J203" i="4"/>
  <c r="I203" i="4"/>
  <c r="H203" i="4"/>
  <c r="M202" i="4" s="1"/>
  <c r="K202" i="4"/>
  <c r="J202" i="4"/>
  <c r="I202" i="4"/>
  <c r="H202" i="4"/>
  <c r="M201" i="4" s="1"/>
  <c r="K201" i="4"/>
  <c r="L200" i="4" s="1"/>
  <c r="J201" i="4"/>
  <c r="I201" i="4"/>
  <c r="H201" i="4"/>
  <c r="M200" i="4" s="1"/>
  <c r="K200" i="4"/>
  <c r="J200" i="4"/>
  <c r="I200" i="4"/>
  <c r="H200" i="4"/>
  <c r="M199" i="4" s="1"/>
  <c r="K199" i="4"/>
  <c r="J199" i="4"/>
  <c r="I199" i="4"/>
  <c r="H199" i="4"/>
  <c r="L198" i="4" s="1"/>
  <c r="M198" i="4"/>
  <c r="K198" i="4"/>
  <c r="J198" i="4"/>
  <c r="I198" i="4"/>
  <c r="H198" i="4"/>
  <c r="M197" i="4"/>
  <c r="K197" i="4"/>
  <c r="J197" i="4"/>
  <c r="I197" i="4"/>
  <c r="H197" i="4"/>
  <c r="M196" i="4"/>
  <c r="K196" i="4"/>
  <c r="J196" i="4"/>
  <c r="I196" i="4"/>
  <c r="H196" i="4"/>
  <c r="M195" i="4" s="1"/>
  <c r="K195" i="4"/>
  <c r="J195" i="4"/>
  <c r="I195" i="4"/>
  <c r="H195" i="4"/>
  <c r="M194" i="4" s="1"/>
  <c r="K194" i="4"/>
  <c r="J194" i="4"/>
  <c r="I194" i="4"/>
  <c r="H194" i="4"/>
  <c r="L193" i="4" s="1"/>
  <c r="M193" i="4"/>
  <c r="K193" i="4"/>
  <c r="J193" i="4"/>
  <c r="I193" i="4"/>
  <c r="H193" i="4"/>
  <c r="L192" i="4" s="1"/>
  <c r="M192" i="4"/>
  <c r="K192" i="4"/>
  <c r="J192" i="4"/>
  <c r="I192" i="4"/>
  <c r="H192" i="4"/>
  <c r="M191" i="4" s="1"/>
  <c r="K191" i="4"/>
  <c r="J191" i="4"/>
  <c r="I191" i="4"/>
  <c r="H191" i="4"/>
  <c r="M190" i="4"/>
  <c r="K190" i="4"/>
  <c r="J190" i="4"/>
  <c r="I190" i="4"/>
  <c r="H190" i="4"/>
  <c r="M189" i="4" s="1"/>
  <c r="K189" i="4"/>
  <c r="J189" i="4"/>
  <c r="I189" i="4"/>
  <c r="H189" i="4"/>
  <c r="M188" i="4"/>
  <c r="L188" i="4"/>
  <c r="K188" i="4"/>
  <c r="J188" i="4"/>
  <c r="I188" i="4"/>
  <c r="H188" i="4"/>
  <c r="M187" i="4" s="1"/>
  <c r="K187" i="4"/>
  <c r="J187" i="4"/>
  <c r="I187" i="4"/>
  <c r="H187" i="4"/>
  <c r="L186" i="4" s="1"/>
  <c r="K186" i="4"/>
  <c r="J186" i="4"/>
  <c r="I186" i="4"/>
  <c r="L185" i="4" s="1"/>
  <c r="H186" i="4"/>
  <c r="M185" i="4" s="1"/>
  <c r="K185" i="4"/>
  <c r="J185" i="4"/>
  <c r="I185" i="4"/>
  <c r="H185" i="4"/>
  <c r="M184" i="4" s="1"/>
  <c r="K184" i="4"/>
  <c r="J184" i="4"/>
  <c r="I184" i="4"/>
  <c r="H184" i="4"/>
  <c r="M183" i="4" s="1"/>
  <c r="K183" i="4"/>
  <c r="J183" i="4"/>
  <c r="I183" i="4"/>
  <c r="H183" i="4"/>
  <c r="M182" i="4" s="1"/>
  <c r="K182" i="4"/>
  <c r="J182" i="4"/>
  <c r="I182" i="4"/>
  <c r="H182" i="4"/>
  <c r="M181" i="4" s="1"/>
  <c r="K181" i="4"/>
  <c r="J181" i="4"/>
  <c r="I181" i="4"/>
  <c r="L180" i="4" s="1"/>
  <c r="H181" i="4"/>
  <c r="M180" i="4" s="1"/>
  <c r="K180" i="4"/>
  <c r="J180" i="4"/>
  <c r="I180" i="4"/>
  <c r="H180" i="4"/>
  <c r="M179" i="4" s="1"/>
  <c r="K179" i="4"/>
  <c r="J179" i="4"/>
  <c r="I179" i="4"/>
  <c r="H179" i="4"/>
  <c r="M178" i="4"/>
  <c r="K178" i="4"/>
  <c r="J178" i="4"/>
  <c r="I178" i="4"/>
  <c r="H178" i="4"/>
  <c r="M177" i="4" s="1"/>
  <c r="K177" i="4"/>
  <c r="J177" i="4"/>
  <c r="I177" i="4"/>
  <c r="H177" i="4"/>
  <c r="M176" i="4"/>
  <c r="L176" i="4"/>
  <c r="K176" i="4"/>
  <c r="J176" i="4"/>
  <c r="I176" i="4"/>
  <c r="H176" i="4"/>
  <c r="M175" i="4" s="1"/>
  <c r="K175" i="4"/>
  <c r="J175" i="4"/>
  <c r="I175" i="4"/>
  <c r="H175" i="4"/>
  <c r="K174" i="4"/>
  <c r="J174" i="4"/>
  <c r="I174" i="4"/>
  <c r="L173" i="4" s="1"/>
  <c r="H174" i="4"/>
  <c r="M173" i="4" s="1"/>
  <c r="K173" i="4"/>
  <c r="J173" i="4"/>
  <c r="I173" i="4"/>
  <c r="H173" i="4"/>
  <c r="M172" i="4" s="1"/>
  <c r="K172" i="4"/>
  <c r="J172" i="4"/>
  <c r="I172" i="4"/>
  <c r="H172" i="4"/>
  <c r="M171" i="4" s="1"/>
  <c r="L171" i="4"/>
  <c r="K171" i="4"/>
  <c r="J171" i="4"/>
  <c r="I171" i="4"/>
  <c r="H171" i="4"/>
  <c r="M170" i="4"/>
  <c r="K170" i="4"/>
  <c r="J170" i="4"/>
  <c r="I170" i="4"/>
  <c r="H170" i="4"/>
  <c r="L169" i="4" s="1"/>
  <c r="M169" i="4"/>
  <c r="K169" i="4"/>
  <c r="J169" i="4"/>
  <c r="I169" i="4"/>
  <c r="L168" i="4" s="1"/>
  <c r="H169" i="4"/>
  <c r="M168" i="4"/>
  <c r="K168" i="4"/>
  <c r="J168" i="4"/>
  <c r="I168" i="4"/>
  <c r="H168" i="4"/>
  <c r="K167" i="4"/>
  <c r="J167" i="4"/>
  <c r="I167" i="4"/>
  <c r="H167" i="4"/>
  <c r="M166" i="4" s="1"/>
  <c r="K166" i="4"/>
  <c r="J166" i="4"/>
  <c r="I166" i="4"/>
  <c r="H166" i="4"/>
  <c r="M165" i="4"/>
  <c r="K165" i="4"/>
  <c r="J165" i="4"/>
  <c r="I165" i="4"/>
  <c r="L164" i="4" s="1"/>
  <c r="H165" i="4"/>
  <c r="M164" i="4"/>
  <c r="K164" i="4"/>
  <c r="J164" i="4"/>
  <c r="I164" i="4"/>
  <c r="H164" i="4"/>
  <c r="M163" i="4"/>
  <c r="K163" i="4"/>
  <c r="J163" i="4"/>
  <c r="I163" i="4"/>
  <c r="H163" i="4"/>
  <c r="M162" i="4" s="1"/>
  <c r="K162" i="4"/>
  <c r="J162" i="4"/>
  <c r="I162" i="4"/>
  <c r="H162" i="4"/>
  <c r="L161" i="4" s="1"/>
  <c r="M161" i="4"/>
  <c r="K161" i="4"/>
  <c r="J161" i="4"/>
  <c r="I161" i="4"/>
  <c r="H161" i="4"/>
  <c r="M160" i="4"/>
  <c r="K160" i="4"/>
  <c r="J160" i="4"/>
  <c r="I160" i="4"/>
  <c r="H160" i="4"/>
  <c r="M159" i="4"/>
  <c r="K159" i="4"/>
  <c r="J159" i="4"/>
  <c r="I159" i="4"/>
  <c r="L158" i="4" s="1"/>
  <c r="H159" i="4"/>
  <c r="M158" i="4" s="1"/>
  <c r="K158" i="4"/>
  <c r="J158" i="4"/>
  <c r="I158" i="4"/>
  <c r="H158" i="4"/>
  <c r="K157" i="4"/>
  <c r="J157" i="4"/>
  <c r="I157" i="4"/>
  <c r="H157" i="4"/>
  <c r="M156" i="4"/>
  <c r="K156" i="4"/>
  <c r="J156" i="4"/>
  <c r="I156" i="4"/>
  <c r="H156" i="4"/>
  <c r="M155" i="4"/>
  <c r="K155" i="4"/>
  <c r="J155" i="4"/>
  <c r="I155" i="4"/>
  <c r="H155" i="4"/>
  <c r="M154" i="4" s="1"/>
  <c r="K154" i="4"/>
  <c r="J154" i="4"/>
  <c r="I154" i="4"/>
  <c r="H154" i="4"/>
  <c r="M153" i="4" s="1"/>
  <c r="K153" i="4"/>
  <c r="J153" i="4"/>
  <c r="I153" i="4"/>
  <c r="H153" i="4"/>
  <c r="M152" i="4" s="1"/>
  <c r="K152" i="4"/>
  <c r="J152" i="4"/>
  <c r="I152" i="4"/>
  <c r="H152" i="4"/>
  <c r="L151" i="4" s="1"/>
  <c r="M151" i="4"/>
  <c r="K151" i="4"/>
  <c r="J151" i="4"/>
  <c r="I151" i="4"/>
  <c r="H151" i="4"/>
  <c r="M150" i="4" s="1"/>
  <c r="K150" i="4"/>
  <c r="J150" i="4"/>
  <c r="I150" i="4"/>
  <c r="H150" i="4"/>
  <c r="L149" i="4" s="1"/>
  <c r="M149" i="4"/>
  <c r="K149" i="4"/>
  <c r="J149" i="4"/>
  <c r="I149" i="4"/>
  <c r="H149" i="4"/>
  <c r="M148" i="4" s="1"/>
  <c r="K148" i="4"/>
  <c r="J148" i="4"/>
  <c r="I148" i="4"/>
  <c r="H148" i="4"/>
  <c r="K147" i="4"/>
  <c r="J147" i="4"/>
  <c r="I147" i="4"/>
  <c r="H147" i="4"/>
  <c r="M146" i="4" s="1"/>
  <c r="K146" i="4"/>
  <c r="J146" i="4"/>
  <c r="I146" i="4"/>
  <c r="H146" i="4"/>
  <c r="K145" i="4"/>
  <c r="J145" i="4"/>
  <c r="I145" i="4"/>
  <c r="H145" i="4"/>
  <c r="M144" i="4"/>
  <c r="K144" i="4"/>
  <c r="J144" i="4"/>
  <c r="I144" i="4"/>
  <c r="H144" i="4"/>
  <c r="M143" i="4" s="1"/>
  <c r="K143" i="4"/>
  <c r="J143" i="4"/>
  <c r="I143" i="4"/>
  <c r="H143" i="4"/>
  <c r="M142" i="4" s="1"/>
  <c r="K142" i="4"/>
  <c r="J142" i="4"/>
  <c r="I142" i="4"/>
  <c r="H142" i="4"/>
  <c r="M141" i="4"/>
  <c r="K141" i="4"/>
  <c r="J141" i="4"/>
  <c r="I141" i="4"/>
  <c r="L140" i="4" s="1"/>
  <c r="H141" i="4"/>
  <c r="M140" i="4" s="1"/>
  <c r="K140" i="4"/>
  <c r="J140" i="4"/>
  <c r="I140" i="4"/>
  <c r="H140" i="4"/>
  <c r="L139" i="4" s="1"/>
  <c r="K139" i="4"/>
  <c r="J139" i="4"/>
  <c r="I139" i="4"/>
  <c r="H139" i="4"/>
  <c r="M138" i="4" s="1"/>
  <c r="K138" i="4"/>
  <c r="J138" i="4"/>
  <c r="I138" i="4"/>
  <c r="H138" i="4"/>
  <c r="M137" i="4"/>
  <c r="K137" i="4"/>
  <c r="J137" i="4"/>
  <c r="I137" i="4"/>
  <c r="L136" i="4" s="1"/>
  <c r="H137" i="4"/>
  <c r="M136" i="4"/>
  <c r="K136" i="4"/>
  <c r="J136" i="4"/>
  <c r="I136" i="4"/>
  <c r="H136" i="4"/>
  <c r="K135" i="4"/>
  <c r="J135" i="4"/>
  <c r="I135" i="4"/>
  <c r="H135" i="4"/>
  <c r="M134" i="4" s="1"/>
  <c r="K134" i="4"/>
  <c r="J134" i="4"/>
  <c r="I134" i="4"/>
  <c r="H134" i="4"/>
  <c r="M133" i="4"/>
  <c r="K133" i="4"/>
  <c r="J133" i="4"/>
  <c r="I133" i="4"/>
  <c r="H133" i="4"/>
  <c r="M132" i="4" s="1"/>
  <c r="K132" i="4"/>
  <c r="J132" i="4"/>
  <c r="I132" i="4"/>
  <c r="H132" i="4"/>
  <c r="M131" i="4"/>
  <c r="K131" i="4"/>
  <c r="J131" i="4"/>
  <c r="I131" i="4"/>
  <c r="H131" i="4"/>
  <c r="M130" i="4" s="1"/>
  <c r="K130" i="4"/>
  <c r="J130" i="4"/>
  <c r="I130" i="4"/>
  <c r="H130" i="4"/>
  <c r="L129" i="4" s="1"/>
  <c r="M129" i="4"/>
  <c r="K129" i="4"/>
  <c r="J129" i="4"/>
  <c r="I129" i="4"/>
  <c r="H129" i="4"/>
  <c r="M128" i="4"/>
  <c r="K128" i="4"/>
  <c r="J128" i="4"/>
  <c r="I128" i="4"/>
  <c r="H128" i="4"/>
  <c r="L127" i="4" s="1"/>
  <c r="K127" i="4"/>
  <c r="J127" i="4"/>
  <c r="I127" i="4"/>
  <c r="L126" i="4" s="1"/>
  <c r="H127" i="4"/>
  <c r="M126" i="4"/>
  <c r="K126" i="4"/>
  <c r="J126" i="4"/>
  <c r="I126" i="4"/>
  <c r="H126" i="4"/>
  <c r="K125" i="4"/>
  <c r="J125" i="4"/>
  <c r="I125" i="4"/>
  <c r="H125" i="4"/>
  <c r="M124" i="4"/>
  <c r="K124" i="4"/>
  <c r="J124" i="4"/>
  <c r="I124" i="4"/>
  <c r="H124" i="4"/>
  <c r="M123" i="4" s="1"/>
  <c r="K123" i="4"/>
  <c r="J123" i="4"/>
  <c r="I123" i="4"/>
  <c r="H123" i="4"/>
  <c r="M122" i="4" s="1"/>
  <c r="K122" i="4"/>
  <c r="J122" i="4"/>
  <c r="I122" i="4"/>
  <c r="H122" i="4"/>
  <c r="L121" i="4" s="1"/>
  <c r="M121" i="4"/>
  <c r="K121" i="4"/>
  <c r="J121" i="4"/>
  <c r="I121" i="4"/>
  <c r="H121" i="4"/>
  <c r="M120" i="4"/>
  <c r="K120" i="4"/>
  <c r="J120" i="4"/>
  <c r="I120" i="4"/>
  <c r="H120" i="4"/>
  <c r="M119" i="4"/>
  <c r="K119" i="4"/>
  <c r="J119" i="4"/>
  <c r="I119" i="4"/>
  <c r="L118" i="4" s="1"/>
  <c r="H119" i="4"/>
  <c r="M118" i="4"/>
  <c r="K118" i="4"/>
  <c r="J118" i="4"/>
  <c r="I118" i="4"/>
  <c r="H118" i="4"/>
  <c r="K117" i="4"/>
  <c r="J117" i="4"/>
  <c r="I117" i="4"/>
  <c r="H117" i="4"/>
  <c r="M116" i="4" s="1"/>
  <c r="K116" i="4"/>
  <c r="J116" i="4"/>
  <c r="I116" i="4"/>
  <c r="H116" i="4"/>
  <c r="M115" i="4" s="1"/>
  <c r="K115" i="4"/>
  <c r="J115" i="4"/>
  <c r="I115" i="4"/>
  <c r="L114" i="4" s="1"/>
  <c r="H115" i="4"/>
  <c r="M114" i="4" s="1"/>
  <c r="K114" i="4"/>
  <c r="J114" i="4"/>
  <c r="I114" i="4"/>
  <c r="H114" i="4"/>
  <c r="L113" i="4" s="1"/>
  <c r="K113" i="4"/>
  <c r="J113" i="4"/>
  <c r="I113" i="4"/>
  <c r="H113" i="4"/>
  <c r="M112" i="4"/>
  <c r="K112" i="4"/>
  <c r="J112" i="4"/>
  <c r="I112" i="4"/>
  <c r="H112" i="4"/>
  <c r="M111" i="4"/>
  <c r="K111" i="4"/>
  <c r="J111" i="4"/>
  <c r="I111" i="4"/>
  <c r="L110" i="4" s="1"/>
  <c r="H111" i="4"/>
  <c r="M110" i="4"/>
  <c r="K110" i="4"/>
  <c r="J110" i="4"/>
  <c r="I110" i="4"/>
  <c r="H110" i="4"/>
  <c r="K109" i="4"/>
  <c r="J109" i="4"/>
  <c r="I109" i="4"/>
  <c r="H109" i="4"/>
  <c r="M108" i="4" s="1"/>
  <c r="K108" i="4"/>
  <c r="J108" i="4"/>
  <c r="I108" i="4"/>
  <c r="H108" i="4"/>
  <c r="M107" i="4" s="1"/>
  <c r="K107" i="4"/>
  <c r="J107" i="4"/>
  <c r="I107" i="4"/>
  <c r="L106" i="4" s="1"/>
  <c r="H107" i="4"/>
  <c r="M106" i="4" s="1"/>
  <c r="K106" i="4"/>
  <c r="J106" i="4"/>
  <c r="I106" i="4"/>
  <c r="H106" i="4"/>
  <c r="L105" i="4" s="1"/>
  <c r="M105" i="4"/>
  <c r="K105" i="4"/>
  <c r="J105" i="4"/>
  <c r="I105" i="4"/>
  <c r="H105" i="4"/>
  <c r="M104" i="4"/>
  <c r="K104" i="4"/>
  <c r="J104" i="4"/>
  <c r="I104" i="4"/>
  <c r="H104" i="4"/>
  <c r="L103" i="4" s="1"/>
  <c r="M103" i="4"/>
  <c r="K103" i="4"/>
  <c r="J103" i="4"/>
  <c r="I103" i="4"/>
  <c r="L102" i="4" s="1"/>
  <c r="H103" i="4"/>
  <c r="M102" i="4"/>
  <c r="K102" i="4"/>
  <c r="J102" i="4"/>
  <c r="I102" i="4"/>
  <c r="H102" i="4"/>
  <c r="M101" i="4" s="1"/>
  <c r="K101" i="4"/>
  <c r="J101" i="4"/>
  <c r="I101" i="4"/>
  <c r="H101" i="4"/>
  <c r="M100" i="4"/>
  <c r="K100" i="4"/>
  <c r="J100" i="4"/>
  <c r="I100" i="4"/>
  <c r="H100" i="4"/>
  <c r="M99" i="4"/>
  <c r="K99" i="4"/>
  <c r="J99" i="4"/>
  <c r="I99" i="4"/>
  <c r="H99" i="4"/>
  <c r="M98" i="4"/>
  <c r="K98" i="4"/>
  <c r="J98" i="4"/>
  <c r="I98" i="4"/>
  <c r="H98" i="4"/>
  <c r="M97" i="4" s="1"/>
  <c r="K97" i="4"/>
  <c r="J97" i="4"/>
  <c r="I97" i="4"/>
  <c r="H97" i="4"/>
  <c r="M96" i="4" s="1"/>
  <c r="K96" i="4"/>
  <c r="J96" i="4"/>
  <c r="I96" i="4"/>
  <c r="H96" i="4"/>
  <c r="L95" i="4" s="1"/>
  <c r="K95" i="4"/>
  <c r="J95" i="4"/>
  <c r="I95" i="4"/>
  <c r="H95" i="4"/>
  <c r="M94" i="4"/>
  <c r="K94" i="4"/>
  <c r="J94" i="4"/>
  <c r="I94" i="4"/>
  <c r="H94" i="4"/>
  <c r="M93" i="4" s="1"/>
  <c r="K93" i="4"/>
  <c r="J93" i="4"/>
  <c r="I93" i="4"/>
  <c r="H93" i="4"/>
  <c r="M92" i="4" s="1"/>
  <c r="K92" i="4"/>
  <c r="J92" i="4"/>
  <c r="I92" i="4"/>
  <c r="H92" i="4"/>
  <c r="K91" i="4"/>
  <c r="J91" i="4"/>
  <c r="I91" i="4"/>
  <c r="H91" i="4"/>
  <c r="M90" i="4"/>
  <c r="K90" i="4"/>
  <c r="J90" i="4"/>
  <c r="I90" i="4"/>
  <c r="H90" i="4"/>
  <c r="M89" i="4" s="1"/>
  <c r="K89" i="4"/>
  <c r="J89" i="4"/>
  <c r="I89" i="4"/>
  <c r="H89" i="4"/>
  <c r="M88" i="4"/>
  <c r="K88" i="4"/>
  <c r="J88" i="4"/>
  <c r="I88" i="4"/>
  <c r="H88" i="4"/>
  <c r="M87" i="4" s="1"/>
  <c r="K87" i="4"/>
  <c r="J87" i="4"/>
  <c r="I87" i="4"/>
  <c r="H87" i="4"/>
  <c r="M86" i="4" s="1"/>
  <c r="K86" i="4"/>
  <c r="J86" i="4"/>
  <c r="I86" i="4"/>
  <c r="H86" i="4"/>
  <c r="M85" i="4" s="1"/>
  <c r="K85" i="4"/>
  <c r="J85" i="4"/>
  <c r="I85" i="4"/>
  <c r="L84" i="4" s="1"/>
  <c r="H85" i="4"/>
  <c r="M84" i="4" s="1"/>
  <c r="K84" i="4"/>
  <c r="J84" i="4"/>
  <c r="I84" i="4"/>
  <c r="H84" i="4"/>
  <c r="L83" i="4" s="1"/>
  <c r="K83" i="4"/>
  <c r="J83" i="4"/>
  <c r="I83" i="4"/>
  <c r="H83" i="4"/>
  <c r="M82" i="4" s="1"/>
  <c r="K82" i="4"/>
  <c r="J82" i="4"/>
  <c r="I82" i="4"/>
  <c r="H82" i="4"/>
  <c r="M81" i="4" s="1"/>
  <c r="K81" i="4"/>
  <c r="J81" i="4"/>
  <c r="I81" i="4"/>
  <c r="L80" i="4" s="1"/>
  <c r="H81" i="4"/>
  <c r="M80" i="4"/>
  <c r="K80" i="4"/>
  <c r="J80" i="4"/>
  <c r="I80" i="4"/>
  <c r="H80" i="4"/>
  <c r="K79" i="4"/>
  <c r="J79" i="4"/>
  <c r="I79" i="4"/>
  <c r="H79" i="4"/>
  <c r="M78" i="4"/>
  <c r="K78" i="4"/>
  <c r="J78" i="4"/>
  <c r="I78" i="4"/>
  <c r="H78" i="4"/>
  <c r="M77" i="4" s="1"/>
  <c r="K77" i="4"/>
  <c r="J77" i="4"/>
  <c r="I77" i="4"/>
  <c r="H77" i="4"/>
  <c r="M76" i="4"/>
  <c r="K76" i="4"/>
  <c r="J76" i="4"/>
  <c r="I76" i="4"/>
  <c r="H76" i="4"/>
  <c r="M75" i="4"/>
  <c r="K75" i="4"/>
  <c r="J75" i="4"/>
  <c r="I75" i="4"/>
  <c r="H75" i="4"/>
  <c r="M74" i="4" s="1"/>
  <c r="K74" i="4"/>
  <c r="J74" i="4"/>
  <c r="I74" i="4"/>
  <c r="H74" i="4"/>
  <c r="M73" i="4" s="1"/>
  <c r="K73" i="4"/>
  <c r="J73" i="4"/>
  <c r="I73" i="4"/>
  <c r="H73" i="4"/>
  <c r="M72" i="4"/>
  <c r="K72" i="4"/>
  <c r="J72" i="4"/>
  <c r="I72" i="4"/>
  <c r="H72" i="4"/>
  <c r="L71" i="4" s="1"/>
  <c r="M71" i="4"/>
  <c r="K71" i="4"/>
  <c r="J71" i="4"/>
  <c r="I71" i="4"/>
  <c r="H71" i="4"/>
  <c r="M70" i="4"/>
  <c r="K70" i="4"/>
  <c r="J70" i="4"/>
  <c r="I70" i="4"/>
  <c r="H70" i="4"/>
  <c r="M69" i="4" s="1"/>
  <c r="K69" i="4"/>
  <c r="J69" i="4"/>
  <c r="I69" i="4"/>
  <c r="H69" i="4"/>
  <c r="M68" i="4" s="1"/>
  <c r="K68" i="4"/>
  <c r="J68" i="4"/>
  <c r="I68" i="4"/>
  <c r="H68" i="4"/>
  <c r="M67" i="4"/>
  <c r="K67" i="4"/>
  <c r="J67" i="4"/>
  <c r="I67" i="4"/>
  <c r="H67" i="4"/>
  <c r="M66" i="4"/>
  <c r="K66" i="4"/>
  <c r="J66" i="4"/>
  <c r="I66" i="4"/>
  <c r="H66" i="4"/>
  <c r="M65" i="4" s="1"/>
  <c r="K65" i="4"/>
  <c r="J65" i="4"/>
  <c r="I65" i="4"/>
  <c r="H65" i="4"/>
  <c r="M64" i="4" s="1"/>
  <c r="K64" i="4"/>
  <c r="J64" i="4"/>
  <c r="I64" i="4"/>
  <c r="H64" i="4"/>
  <c r="L63" i="4" s="1"/>
  <c r="M63" i="4"/>
  <c r="K63" i="4"/>
  <c r="J63" i="4"/>
  <c r="L62" i="4" s="1"/>
  <c r="I63" i="4"/>
  <c r="H63" i="4"/>
  <c r="M62" i="4"/>
  <c r="K62" i="4"/>
  <c r="J62" i="4"/>
  <c r="I62" i="4"/>
  <c r="H62" i="4"/>
  <c r="M61" i="4" s="1"/>
  <c r="K61" i="4"/>
  <c r="J61" i="4"/>
  <c r="I61" i="4"/>
  <c r="H61" i="4"/>
  <c r="M60" i="4" s="1"/>
  <c r="K60" i="4"/>
  <c r="J60" i="4"/>
  <c r="I60" i="4"/>
  <c r="H60" i="4"/>
  <c r="K59" i="4"/>
  <c r="J59" i="4"/>
  <c r="I59" i="4"/>
  <c r="H59" i="4"/>
  <c r="M58" i="4"/>
  <c r="K58" i="4"/>
  <c r="J58" i="4"/>
  <c r="I58" i="4"/>
  <c r="H58" i="4"/>
  <c r="M57" i="4" s="1"/>
  <c r="K57" i="4"/>
  <c r="J57" i="4"/>
  <c r="I57" i="4"/>
  <c r="H57" i="4"/>
  <c r="M56" i="4"/>
  <c r="K56" i="4"/>
  <c r="J56" i="4"/>
  <c r="I56" i="4"/>
  <c r="H56" i="4"/>
  <c r="M55" i="4" s="1"/>
  <c r="K55" i="4"/>
  <c r="J55" i="4"/>
  <c r="I55" i="4"/>
  <c r="H55" i="4"/>
  <c r="M54" i="4" s="1"/>
  <c r="K54" i="4"/>
  <c r="J54" i="4"/>
  <c r="I54" i="4"/>
  <c r="H54" i="4"/>
  <c r="M53" i="4" s="1"/>
  <c r="K53" i="4"/>
  <c r="J53" i="4"/>
  <c r="I53" i="4"/>
  <c r="H53" i="4"/>
  <c r="M52" i="4" s="1"/>
  <c r="K52" i="4"/>
  <c r="J52" i="4"/>
  <c r="I52" i="4"/>
  <c r="H52" i="4"/>
  <c r="L51" i="4" s="1"/>
  <c r="M51" i="4"/>
  <c r="K51" i="4"/>
  <c r="J51" i="4"/>
  <c r="I51" i="4"/>
  <c r="H51" i="4"/>
  <c r="M50" i="4"/>
  <c r="K50" i="4"/>
  <c r="J50" i="4"/>
  <c r="I50" i="4"/>
  <c r="H50" i="4"/>
  <c r="M49" i="4" s="1"/>
  <c r="K49" i="4"/>
  <c r="J49" i="4"/>
  <c r="I49" i="4"/>
  <c r="H49" i="4"/>
  <c r="M48" i="4"/>
  <c r="L48" i="4"/>
  <c r="K48" i="4"/>
  <c r="J48" i="4"/>
  <c r="I48" i="4"/>
  <c r="H48" i="4"/>
  <c r="M47" i="4" s="1"/>
  <c r="K47" i="4"/>
  <c r="J47" i="4"/>
  <c r="I47" i="4"/>
  <c r="H47" i="4"/>
  <c r="M46" i="4" s="1"/>
  <c r="K46" i="4"/>
  <c r="J46" i="4"/>
  <c r="I46" i="4"/>
  <c r="H46" i="4"/>
  <c r="M45" i="4" s="1"/>
  <c r="K45" i="4"/>
  <c r="J45" i="4"/>
  <c r="I45" i="4"/>
  <c r="L44" i="4" s="1"/>
  <c r="H45" i="4"/>
  <c r="M44" i="4" s="1"/>
  <c r="K44" i="4"/>
  <c r="J44" i="4"/>
  <c r="I44" i="4"/>
  <c r="H44" i="4"/>
  <c r="L43" i="4" s="1"/>
  <c r="M43" i="4"/>
  <c r="K43" i="4"/>
  <c r="J43" i="4"/>
  <c r="I43" i="4"/>
  <c r="H43" i="4"/>
  <c r="M42" i="4"/>
  <c r="K42" i="4"/>
  <c r="J42" i="4"/>
  <c r="I42" i="4"/>
  <c r="H42" i="4"/>
  <c r="M41" i="4" s="1"/>
  <c r="K41" i="4"/>
  <c r="J41" i="4"/>
  <c r="I41" i="4"/>
  <c r="H41" i="4"/>
  <c r="M40" i="4"/>
  <c r="L40" i="4"/>
  <c r="K40" i="4"/>
  <c r="J40" i="4"/>
  <c r="I40" i="4"/>
  <c r="H40" i="4"/>
  <c r="M39" i="4" s="1"/>
  <c r="K39" i="4"/>
  <c r="J39" i="4"/>
  <c r="I39" i="4"/>
  <c r="H39" i="4"/>
  <c r="M38" i="4" s="1"/>
  <c r="K38" i="4"/>
  <c r="J38" i="4"/>
  <c r="I38" i="4"/>
  <c r="H38" i="4"/>
  <c r="M37" i="4" s="1"/>
  <c r="K37" i="4"/>
  <c r="J37" i="4"/>
  <c r="I37" i="4"/>
  <c r="H37" i="4"/>
  <c r="M36" i="4" s="1"/>
  <c r="K36" i="4"/>
  <c r="J36" i="4"/>
  <c r="I36" i="4"/>
  <c r="H36" i="4"/>
  <c r="L35" i="4" s="1"/>
  <c r="M35" i="4"/>
  <c r="K35" i="4"/>
  <c r="J35" i="4"/>
  <c r="I35" i="4"/>
  <c r="H35" i="4"/>
  <c r="M34" i="4"/>
  <c r="K34" i="4"/>
  <c r="J34" i="4"/>
  <c r="I34" i="4"/>
  <c r="H34" i="4"/>
  <c r="M33" i="4" s="1"/>
  <c r="K33" i="4"/>
  <c r="J33" i="4"/>
  <c r="I33" i="4"/>
  <c r="H33" i="4"/>
  <c r="M32" i="4"/>
  <c r="L32" i="4"/>
  <c r="K32" i="4"/>
  <c r="J32" i="4"/>
  <c r="I32" i="4"/>
  <c r="H32" i="4"/>
  <c r="M31" i="4" s="1"/>
  <c r="K31" i="4"/>
  <c r="J31" i="4"/>
  <c r="I31" i="4"/>
  <c r="H31" i="4"/>
  <c r="M30" i="4" s="1"/>
  <c r="K30" i="4"/>
  <c r="J30" i="4"/>
  <c r="I30" i="4"/>
  <c r="H30" i="4"/>
  <c r="M29" i="4" s="1"/>
  <c r="K29" i="4"/>
  <c r="J29" i="4"/>
  <c r="I29" i="4"/>
  <c r="L28" i="4" s="1"/>
  <c r="H29" i="4"/>
  <c r="M28" i="4" s="1"/>
  <c r="K28" i="4"/>
  <c r="J28" i="4"/>
  <c r="I28" i="4"/>
  <c r="H28" i="4"/>
  <c r="L27" i="4" s="1"/>
  <c r="M27" i="4"/>
  <c r="K27" i="4"/>
  <c r="J27" i="4"/>
  <c r="I27" i="4"/>
  <c r="H27" i="4"/>
  <c r="M26" i="4"/>
  <c r="K26" i="4"/>
  <c r="J26" i="4"/>
  <c r="I26" i="4"/>
  <c r="H26" i="4"/>
  <c r="M25" i="4" s="1"/>
  <c r="K25" i="4"/>
  <c r="J25" i="4"/>
  <c r="I25" i="4"/>
  <c r="H25" i="4"/>
  <c r="M24" i="4"/>
  <c r="L24" i="4"/>
  <c r="K24" i="4"/>
  <c r="J24" i="4"/>
  <c r="I24" i="4"/>
  <c r="H24" i="4"/>
  <c r="M23" i="4" s="1"/>
  <c r="K23" i="4"/>
  <c r="J23" i="4"/>
  <c r="I23" i="4"/>
  <c r="H23" i="4"/>
  <c r="M22" i="4" s="1"/>
  <c r="K22" i="4"/>
  <c r="J22" i="4"/>
  <c r="I22" i="4"/>
  <c r="H22" i="4"/>
  <c r="M21" i="4" s="1"/>
  <c r="K21" i="4"/>
  <c r="J21" i="4"/>
  <c r="I21" i="4"/>
  <c r="H21" i="4"/>
  <c r="M20" i="4" s="1"/>
  <c r="K20" i="4"/>
  <c r="J20" i="4"/>
  <c r="I20" i="4"/>
  <c r="H20" i="4"/>
  <c r="M19" i="4" s="1"/>
  <c r="K19" i="4"/>
  <c r="J19" i="4"/>
  <c r="I19" i="4"/>
  <c r="H19" i="4"/>
  <c r="M18" i="4" s="1"/>
  <c r="K18" i="4"/>
  <c r="J18" i="4"/>
  <c r="I18" i="4"/>
  <c r="H18" i="4"/>
  <c r="M17" i="4" s="1"/>
  <c r="K17" i="4"/>
  <c r="J17" i="4"/>
  <c r="I17" i="4"/>
  <c r="H17" i="4"/>
  <c r="M16" i="4"/>
  <c r="L16" i="4"/>
  <c r="K16" i="4"/>
  <c r="J16" i="4"/>
  <c r="I16" i="4"/>
  <c r="H16" i="4"/>
  <c r="M15" i="4" s="1"/>
  <c r="K15" i="4"/>
  <c r="J15" i="4"/>
  <c r="I15" i="4"/>
  <c r="H15" i="4"/>
  <c r="M14" i="4"/>
  <c r="K14" i="4"/>
  <c r="I14" i="4"/>
  <c r="H14" i="4"/>
  <c r="M13" i="4" s="1"/>
  <c r="K13" i="4"/>
  <c r="J13" i="4"/>
  <c r="I13" i="4"/>
  <c r="H13" i="4"/>
  <c r="L12" i="4"/>
  <c r="K12" i="4"/>
  <c r="L11" i="4" s="1"/>
  <c r="J12" i="4"/>
  <c r="I12" i="4"/>
  <c r="H12" i="4"/>
  <c r="M11" i="4" s="1"/>
  <c r="K11" i="4"/>
  <c r="J11" i="4"/>
  <c r="I11" i="4"/>
  <c r="H11" i="4"/>
  <c r="M10" i="4" s="1"/>
  <c r="M9" i="4"/>
  <c r="L9" i="4"/>
  <c r="C5" i="4"/>
  <c r="F38" i="3"/>
  <c r="E38" i="3"/>
  <c r="D38" i="3"/>
  <c r="C38" i="3"/>
  <c r="C32" i="3"/>
  <c r="F30" i="3"/>
  <c r="E30" i="3"/>
  <c r="E28" i="3" s="1"/>
  <c r="D30" i="3"/>
  <c r="C30" i="3"/>
  <c r="C36" i="3" s="1"/>
  <c r="C28" i="3"/>
  <c r="F24" i="3"/>
  <c r="E24" i="3"/>
  <c r="D24" i="3"/>
  <c r="C24" i="3"/>
  <c r="F22" i="3"/>
  <c r="E22" i="3"/>
  <c r="E19" i="3" s="1"/>
  <c r="D22" i="3"/>
  <c r="D19" i="3" s="1"/>
  <c r="C22" i="3"/>
  <c r="C20" i="3"/>
  <c r="F19" i="3"/>
  <c r="F17" i="3"/>
  <c r="E17" i="3"/>
  <c r="D17" i="3"/>
  <c r="C17" i="3" s="1"/>
  <c r="F15" i="3"/>
  <c r="E15" i="3"/>
  <c r="D15" i="3"/>
  <c r="C15" i="3"/>
  <c r="F14" i="3"/>
  <c r="F13" i="3" s="1"/>
  <c r="F11" i="3" s="1"/>
  <c r="F9" i="3" s="1"/>
  <c r="E14" i="3"/>
  <c r="D14" i="3"/>
  <c r="D13" i="3" s="1"/>
  <c r="D11" i="3" s="1"/>
  <c r="C14" i="3"/>
  <c r="C13" i="3" s="1"/>
  <c r="C11" i="3" s="1"/>
  <c r="Q62" i="2"/>
  <c r="Q61" i="2"/>
  <c r="P55" i="2"/>
  <c r="L48" i="2"/>
  <c r="P26" i="2" s="1"/>
  <c r="M47" i="2"/>
  <c r="L43" i="2"/>
  <c r="L38" i="2"/>
  <c r="K34" i="2"/>
  <c r="L33" i="2"/>
  <c r="P51" i="2" s="1"/>
  <c r="K31" i="2"/>
  <c r="P28" i="2"/>
  <c r="K22" i="2"/>
  <c r="P22" i="2" s="1"/>
  <c r="K13" i="2"/>
  <c r="K12" i="2" s="1"/>
  <c r="A2" i="2"/>
  <c r="A2" i="3" s="1"/>
  <c r="B37" i="1"/>
  <c r="B34" i="1"/>
  <c r="H32" i="1"/>
  <c r="I32" i="1" s="1"/>
  <c r="H26" i="1"/>
  <c r="G26" i="1"/>
  <c r="F26" i="1"/>
  <c r="H25" i="1"/>
  <c r="G25" i="1"/>
  <c r="F25" i="1"/>
  <c r="H24" i="1"/>
  <c r="G24" i="1"/>
  <c r="F24" i="1"/>
  <c r="H23" i="1"/>
  <c r="G23" i="1"/>
  <c r="F23" i="1"/>
  <c r="H22" i="1"/>
  <c r="G22" i="1"/>
  <c r="F22" i="1"/>
  <c r="H18" i="1"/>
  <c r="G18" i="1"/>
  <c r="F18" i="1"/>
  <c r="H17" i="1"/>
  <c r="G17" i="1"/>
  <c r="F17" i="1"/>
  <c r="H16" i="1"/>
  <c r="G16" i="1"/>
  <c r="F16" i="1"/>
  <c r="H15" i="1"/>
  <c r="G15" i="1"/>
  <c r="F15" i="1"/>
  <c r="H14" i="1"/>
  <c r="G14" i="1"/>
  <c r="I14" i="1" s="1"/>
  <c r="A3" i="1"/>
  <c r="I23" i="1" l="1"/>
  <c r="I24" i="1"/>
  <c r="I16" i="1"/>
  <c r="I22" i="1"/>
  <c r="L74" i="4"/>
  <c r="L96" i="4"/>
  <c r="L212" i="4"/>
  <c r="L256" i="4"/>
  <c r="M256" i="4"/>
  <c r="F28" i="3"/>
  <c r="F36" i="3"/>
  <c r="F34" i="3" s="1"/>
  <c r="L152" i="4"/>
  <c r="L243" i="4"/>
  <c r="L110" i="6"/>
  <c r="M109" i="6"/>
  <c r="M179" i="6"/>
  <c r="L180" i="6"/>
  <c r="L222" i="6"/>
  <c r="M221" i="6"/>
  <c r="L225" i="6"/>
  <c r="L64" i="4"/>
  <c r="L98" i="4"/>
  <c r="L147" i="4"/>
  <c r="M147" i="4"/>
  <c r="L86" i="6"/>
  <c r="M85" i="6"/>
  <c r="L133" i="6"/>
  <c r="M132" i="6"/>
  <c r="L157" i="6"/>
  <c r="M156" i="6"/>
  <c r="L204" i="6"/>
  <c r="M203" i="6"/>
  <c r="L219" i="6"/>
  <c r="L253" i="6"/>
  <c r="M252" i="6"/>
  <c r="H39" i="1"/>
  <c r="I25" i="1"/>
  <c r="B32" i="1"/>
  <c r="B30" i="1" s="1"/>
  <c r="Q63" i="2"/>
  <c r="H9" i="4"/>
  <c r="L30" i="4"/>
  <c r="L46" i="4"/>
  <c r="L59" i="4"/>
  <c r="M59" i="4"/>
  <c r="M95" i="4"/>
  <c r="L119" i="4"/>
  <c r="L232" i="4"/>
  <c r="L26" i="6"/>
  <c r="L28" i="6"/>
  <c r="M27" i="6"/>
  <c r="L46" i="6"/>
  <c r="M45" i="6"/>
  <c r="L76" i="6"/>
  <c r="L83" i="6"/>
  <c r="L174" i="6"/>
  <c r="M173" i="6"/>
  <c r="L198" i="6"/>
  <c r="M197" i="6"/>
  <c r="L201" i="6"/>
  <c r="L66" i="4"/>
  <c r="L174" i="4"/>
  <c r="L224" i="4"/>
  <c r="M226" i="4"/>
  <c r="L251" i="4"/>
  <c r="L25" i="6"/>
  <c r="M24" i="6"/>
  <c r="L69" i="6"/>
  <c r="M68" i="6"/>
  <c r="L154" i="4"/>
  <c r="L22" i="6"/>
  <c r="M21" i="6"/>
  <c r="L93" i="6"/>
  <c r="M92" i="6"/>
  <c r="L156" i="6"/>
  <c r="M155" i="6"/>
  <c r="L229" i="6"/>
  <c r="M228" i="6"/>
  <c r="L252" i="6"/>
  <c r="M251" i="6"/>
  <c r="L228" i="6"/>
  <c r="M227" i="6"/>
  <c r="L132" i="4"/>
  <c r="M51" i="6"/>
  <c r="L52" i="6"/>
  <c r="H8" i="6"/>
  <c r="L76" i="4"/>
  <c r="L91" i="4"/>
  <c r="M91" i="4"/>
  <c r="I26" i="1"/>
  <c r="C34" i="3"/>
  <c r="C26" i="3" s="1"/>
  <c r="L20" i="4"/>
  <c r="L36" i="4"/>
  <c r="L52" i="4"/>
  <c r="L88" i="4"/>
  <c r="L111" i="4"/>
  <c r="L142" i="4"/>
  <c r="L157" i="4"/>
  <c r="M157" i="4"/>
  <c r="L162" i="4"/>
  <c r="L220" i="4"/>
  <c r="L19" i="6"/>
  <c r="L66" i="6"/>
  <c r="L153" i="6"/>
  <c r="M152" i="6"/>
  <c r="L246" i="6"/>
  <c r="M245" i="6"/>
  <c r="L29" i="6"/>
  <c r="M28" i="6"/>
  <c r="L92" i="6"/>
  <c r="M91" i="6"/>
  <c r="L108" i="4"/>
  <c r="L89" i="6"/>
  <c r="M88" i="6"/>
  <c r="L122" i="4"/>
  <c r="I17" i="1"/>
  <c r="J17" i="1" s="1"/>
  <c r="L86" i="4"/>
  <c r="I15" i="1"/>
  <c r="C19" i="3"/>
  <c r="C9" i="3" s="1"/>
  <c r="C42" i="3" s="1"/>
  <c r="F39" i="1"/>
  <c r="K20" i="2"/>
  <c r="P25" i="2" s="1"/>
  <c r="P27" i="2" s="1"/>
  <c r="P29" i="2" s="1"/>
  <c r="D28" i="3"/>
  <c r="D36" i="3"/>
  <c r="D34" i="3" s="1"/>
  <c r="L22" i="4"/>
  <c r="L38" i="4"/>
  <c r="L54" i="4"/>
  <c r="L56" i="4"/>
  <c r="M83" i="4"/>
  <c r="M113" i="4"/>
  <c r="M127" i="4"/>
  <c r="J9" i="4"/>
  <c r="L130" i="4"/>
  <c r="L137" i="4"/>
  <c r="M139" i="4"/>
  <c r="L159" i="4"/>
  <c r="M214" i="4"/>
  <c r="L219" i="4"/>
  <c r="L12" i="6"/>
  <c r="L36" i="6"/>
  <c r="M115" i="6"/>
  <c r="L116" i="6"/>
  <c r="L150" i="6"/>
  <c r="M149" i="6"/>
  <c r="L164" i="6"/>
  <c r="L194" i="6"/>
  <c r="L205" i="6"/>
  <c r="M204" i="6"/>
  <c r="L18" i="4"/>
  <c r="L72" i="4"/>
  <c r="L79" i="4"/>
  <c r="L94" i="4"/>
  <c r="L104" i="4"/>
  <c r="L109" i="4"/>
  <c r="L112" i="4"/>
  <c r="L117" i="4"/>
  <c r="L120" i="4"/>
  <c r="L125" i="4"/>
  <c r="L128" i="4"/>
  <c r="L135" i="4"/>
  <c r="L145" i="4"/>
  <c r="L150" i="4"/>
  <c r="L160" i="4"/>
  <c r="L167" i="4"/>
  <c r="L227" i="4"/>
  <c r="L234" i="4"/>
  <c r="L239" i="4"/>
  <c r="L33" i="6"/>
  <c r="L50" i="6"/>
  <c r="L53" i="6"/>
  <c r="L67" i="6"/>
  <c r="L70" i="6"/>
  <c r="L73" i="6"/>
  <c r="L114" i="6"/>
  <c r="L117" i="6"/>
  <c r="L131" i="6"/>
  <c r="L134" i="6"/>
  <c r="L137" i="6"/>
  <c r="L178" i="6"/>
  <c r="L181" i="6"/>
  <c r="L202" i="6"/>
  <c r="L209" i="6"/>
  <c r="L226" i="6"/>
  <c r="L233" i="6"/>
  <c r="L250" i="6"/>
  <c r="L42" i="6"/>
  <c r="L59" i="6"/>
  <c r="L106" i="6"/>
  <c r="L123" i="6"/>
  <c r="L170" i="6"/>
  <c r="L187" i="6"/>
  <c r="L218" i="6"/>
  <c r="L242" i="6"/>
  <c r="L116" i="4"/>
  <c r="L124" i="4"/>
  <c r="L134" i="4"/>
  <c r="L144" i="4"/>
  <c r="L166" i="4"/>
  <c r="L172" i="4"/>
  <c r="L184" i="4"/>
  <c r="L204" i="4"/>
  <c r="L255" i="4"/>
  <c r="L18" i="6"/>
  <c r="L21" i="6"/>
  <c r="L35" i="6"/>
  <c r="L38" i="6"/>
  <c r="L82" i="6"/>
  <c r="L85" i="6"/>
  <c r="L99" i="6"/>
  <c r="L102" i="6"/>
  <c r="L105" i="6"/>
  <c r="L146" i="6"/>
  <c r="L149" i="6"/>
  <c r="L163" i="6"/>
  <c r="L166" i="6"/>
  <c r="L169" i="6"/>
  <c r="L186" i="6"/>
  <c r="L193" i="6"/>
  <c r="L221" i="6"/>
  <c r="L245" i="6"/>
  <c r="E13" i="3"/>
  <c r="E11" i="3" s="1"/>
  <c r="L14" i="4"/>
  <c r="I9" i="4"/>
  <c r="L8" i="4" s="1"/>
  <c r="L68" i="4"/>
  <c r="L75" i="4"/>
  <c r="L78" i="4"/>
  <c r="L90" i="4"/>
  <c r="L100" i="4"/>
  <c r="L131" i="4"/>
  <c r="L141" i="4"/>
  <c r="L146" i="4"/>
  <c r="L156" i="4"/>
  <c r="L163" i="4"/>
  <c r="L183" i="4"/>
  <c r="L196" i="4"/>
  <c r="L213" i="4"/>
  <c r="L223" i="4"/>
  <c r="L235" i="4"/>
  <c r="L14" i="6"/>
  <c r="L41" i="6"/>
  <c r="L58" i="6"/>
  <c r="L61" i="6"/>
  <c r="L75" i="6"/>
  <c r="L78" i="6"/>
  <c r="L122" i="6"/>
  <c r="L125" i="6"/>
  <c r="L139" i="6"/>
  <c r="L142" i="6"/>
  <c r="L189" i="6"/>
  <c r="L211" i="6"/>
  <c r="L214" i="6"/>
  <c r="L217" i="6"/>
  <c r="L235" i="6"/>
  <c r="L238" i="6"/>
  <c r="L241" i="6"/>
  <c r="L23" i="4"/>
  <c r="L31" i="4"/>
  <c r="L39" i="4"/>
  <c r="L47" i="4"/>
  <c r="L55" i="4"/>
  <c r="L58" i="4"/>
  <c r="L87" i="4"/>
  <c r="L107" i="4"/>
  <c r="L115" i="4"/>
  <c r="L123" i="4"/>
  <c r="L143" i="4"/>
  <c r="L153" i="4"/>
  <c r="L205" i="4"/>
  <c r="L37" i="6"/>
  <c r="L51" i="6"/>
  <c r="L54" i="6"/>
  <c r="L57" i="6"/>
  <c r="L101" i="6"/>
  <c r="L115" i="6"/>
  <c r="L118" i="6"/>
  <c r="L121" i="6"/>
  <c r="L165" i="6"/>
  <c r="L179" i="6"/>
  <c r="L182" i="6"/>
  <c r="L210" i="6"/>
  <c r="L234" i="6"/>
  <c r="L26" i="4"/>
  <c r="L34" i="4"/>
  <c r="L42" i="4"/>
  <c r="L50" i="4"/>
  <c r="K9" i="4"/>
  <c r="L60" i="4"/>
  <c r="L67" i="4"/>
  <c r="L70" i="4"/>
  <c r="M79" i="4"/>
  <c r="L82" i="4"/>
  <c r="L92" i="4"/>
  <c r="L99" i="4"/>
  <c r="M109" i="4"/>
  <c r="M117" i="4"/>
  <c r="M125" i="4"/>
  <c r="L133" i="4"/>
  <c r="M135" i="4"/>
  <c r="L138" i="4"/>
  <c r="M145" i="4"/>
  <c r="L148" i="4"/>
  <c r="L155" i="4"/>
  <c r="L165" i="4"/>
  <c r="M167" i="4"/>
  <c r="L177" i="4"/>
  <c r="L189" i="4"/>
  <c r="L197" i="4"/>
  <c r="M234" i="4"/>
  <c r="K8" i="6"/>
  <c r="L13" i="6"/>
  <c r="L27" i="6"/>
  <c r="L30" i="6"/>
  <c r="L74" i="6"/>
  <c r="L77" i="6"/>
  <c r="L91" i="6"/>
  <c r="L94" i="6"/>
  <c r="L138" i="6"/>
  <c r="L141" i="6"/>
  <c r="L155" i="6"/>
  <c r="L158" i="6"/>
  <c r="L206" i="6"/>
  <c r="L213" i="6"/>
  <c r="L230" i="6"/>
  <c r="L237" i="6"/>
  <c r="L254" i="6"/>
  <c r="L9" i="2"/>
  <c r="D9" i="3"/>
  <c r="M8" i="4"/>
  <c r="E9" i="3"/>
  <c r="D26" i="3"/>
  <c r="M41" i="2"/>
  <c r="E36" i="3"/>
  <c r="E34" i="3" s="1"/>
  <c r="E26" i="3" s="1"/>
  <c r="M12" i="4"/>
  <c r="L15" i="4"/>
  <c r="L19" i="4"/>
  <c r="M174" i="4"/>
  <c r="M186" i="4"/>
  <c r="L195" i="4"/>
  <c r="L203" i="4"/>
  <c r="L211" i="4"/>
  <c r="M241" i="4"/>
  <c r="L241" i="4"/>
  <c r="L246" i="4"/>
  <c r="M31" i="6"/>
  <c r="L32" i="6"/>
  <c r="L49" i="6"/>
  <c r="M95" i="6"/>
  <c r="L96" i="6"/>
  <c r="L113" i="6"/>
  <c r="M159" i="6"/>
  <c r="L160" i="6"/>
  <c r="L177" i="6"/>
  <c r="M207" i="6"/>
  <c r="L208" i="6"/>
  <c r="M231" i="6"/>
  <c r="L232" i="6"/>
  <c r="M255" i="6"/>
  <c r="L256" i="6"/>
  <c r="M229" i="4"/>
  <c r="L229" i="4"/>
  <c r="M183" i="6"/>
  <c r="L184" i="6"/>
  <c r="I18" i="1"/>
  <c r="M221" i="4"/>
  <c r="L221" i="4"/>
  <c r="M253" i="4"/>
  <c r="L253" i="4"/>
  <c r="M71" i="6"/>
  <c r="L72" i="6"/>
  <c r="M135" i="6"/>
  <c r="L136" i="6"/>
  <c r="L249" i="6"/>
  <c r="I8" i="6"/>
  <c r="L8" i="6" s="1"/>
  <c r="M10" i="6"/>
  <c r="L10" i="6"/>
  <c r="G39" i="1"/>
  <c r="M233" i="4"/>
  <c r="L233" i="4"/>
  <c r="L238" i="4"/>
  <c r="M47" i="6"/>
  <c r="L48" i="6"/>
  <c r="M111" i="6"/>
  <c r="L112" i="6"/>
  <c r="M175" i="6"/>
  <c r="L176" i="6"/>
  <c r="M199" i="6"/>
  <c r="L200" i="6"/>
  <c r="L10" i="4"/>
  <c r="L170" i="4"/>
  <c r="L191" i="4"/>
  <c r="L194" i="4"/>
  <c r="L202" i="4"/>
  <c r="L210" i="4"/>
  <c r="L218" i="4"/>
  <c r="M245" i="4"/>
  <c r="L245" i="4"/>
  <c r="L250" i="4"/>
  <c r="M23" i="6"/>
  <c r="L24" i="6"/>
  <c r="M87" i="6"/>
  <c r="L88" i="6"/>
  <c r="M151" i="6"/>
  <c r="L152" i="6"/>
  <c r="M223" i="6"/>
  <c r="L224" i="6"/>
  <c r="M247" i="6"/>
  <c r="L248" i="6"/>
  <c r="M119" i="6"/>
  <c r="L120" i="6"/>
  <c r="K19" i="2"/>
  <c r="L17" i="4"/>
  <c r="L21" i="4"/>
  <c r="L25" i="4"/>
  <c r="L29" i="4"/>
  <c r="L33" i="4"/>
  <c r="L37" i="4"/>
  <c r="L41" i="4"/>
  <c r="L45" i="4"/>
  <c r="L49" i="4"/>
  <c r="L53" i="4"/>
  <c r="L57" i="4"/>
  <c r="L61" i="4"/>
  <c r="L65" i="4"/>
  <c r="L69" i="4"/>
  <c r="L73" i="4"/>
  <c r="L77" i="4"/>
  <c r="L81" i="4"/>
  <c r="L85" i="4"/>
  <c r="L89" i="4"/>
  <c r="L93" i="4"/>
  <c r="L97" i="4"/>
  <c r="L101" i="4"/>
  <c r="L179" i="4"/>
  <c r="L182" i="4"/>
  <c r="L199" i="4"/>
  <c r="L207" i="4"/>
  <c r="L215" i="4"/>
  <c r="M225" i="4"/>
  <c r="L225" i="4"/>
  <c r="L230" i="4"/>
  <c r="M257" i="4"/>
  <c r="L257" i="4"/>
  <c r="M8" i="6"/>
  <c r="L17" i="6"/>
  <c r="M63" i="6"/>
  <c r="L64" i="6"/>
  <c r="L81" i="6"/>
  <c r="M127" i="6"/>
  <c r="L128" i="6"/>
  <c r="L145" i="6"/>
  <c r="M191" i="6"/>
  <c r="L192" i="6"/>
  <c r="M55" i="6"/>
  <c r="L56" i="6"/>
  <c r="M31" i="2"/>
  <c r="L13" i="4"/>
  <c r="L181" i="4"/>
  <c r="M237" i="4"/>
  <c r="L237" i="4"/>
  <c r="L242" i="4"/>
  <c r="L11" i="6"/>
  <c r="J8" i="6"/>
  <c r="M39" i="6"/>
  <c r="L40" i="6"/>
  <c r="M103" i="6"/>
  <c r="L104" i="6"/>
  <c r="M167" i="6"/>
  <c r="L168" i="6"/>
  <c r="L175" i="4"/>
  <c r="L178" i="4"/>
  <c r="L187" i="4"/>
  <c r="L190" i="4"/>
  <c r="L201" i="4"/>
  <c r="L209" i="4"/>
  <c r="L217" i="4"/>
  <c r="L222" i="4"/>
  <c r="M249" i="4"/>
  <c r="L249" i="4"/>
  <c r="L254" i="4"/>
  <c r="M15" i="6"/>
  <c r="L16" i="6"/>
  <c r="M79" i="6"/>
  <c r="L80" i="6"/>
  <c r="L97" i="6"/>
  <c r="M143" i="6"/>
  <c r="L144" i="6"/>
  <c r="L161" i="6"/>
  <c r="M215" i="6"/>
  <c r="L216" i="6"/>
  <c r="M239" i="6"/>
  <c r="L240" i="6"/>
  <c r="L185" i="6"/>
  <c r="L15" i="6"/>
  <c r="L23" i="6"/>
  <c r="L31" i="6"/>
  <c r="L39" i="6"/>
  <c r="L47" i="6"/>
  <c r="L55" i="6"/>
  <c r="L63" i="6"/>
  <c r="L71" i="6"/>
  <c r="L79" i="6"/>
  <c r="L87" i="6"/>
  <c r="L95" i="6"/>
  <c r="L103" i="6"/>
  <c r="L111" i="6"/>
  <c r="L119" i="6"/>
  <c r="L127" i="6"/>
  <c r="L135" i="6"/>
  <c r="L143" i="6"/>
  <c r="L151" i="6"/>
  <c r="L159" i="6"/>
  <c r="L167" i="6"/>
  <c r="L175" i="6"/>
  <c r="L183" i="6"/>
  <c r="L191" i="6"/>
  <c r="L199" i="6"/>
  <c r="L207" i="6"/>
  <c r="L215" i="6"/>
  <c r="L223" i="6"/>
  <c r="L231" i="6"/>
  <c r="L239" i="6"/>
  <c r="L247" i="6"/>
  <c r="L255" i="6"/>
  <c r="I39" i="1" l="1"/>
  <c r="F26" i="3"/>
  <c r="F42" i="3" s="1"/>
  <c r="E42" i="3"/>
  <c r="K18" i="2"/>
  <c r="B27" i="1"/>
  <c r="B22" i="1"/>
  <c r="D42" i="3"/>
  <c r="K19" i="1"/>
  <c r="B14" i="1"/>
  <c r="L16" i="2" l="1"/>
  <c r="B18" i="1" l="1"/>
  <c r="M8" i="2"/>
  <c r="M53" i="2" l="1"/>
  <c r="B12" i="1"/>
  <c r="B39" i="1" s="1"/>
  <c r="K20" i="1"/>
  <c r="B43" i="1" l="1"/>
  <c r="N38" i="2"/>
  <c r="N13" i="2"/>
  <c r="N45" i="2"/>
  <c r="N24" i="2"/>
  <c r="N51" i="2"/>
  <c r="N44" i="2"/>
  <c r="N36" i="2"/>
  <c r="N23" i="2"/>
  <c r="N39" i="2"/>
  <c r="K59" i="2"/>
  <c r="N35" i="2"/>
  <c r="N14" i="2"/>
  <c r="N50" i="2"/>
  <c r="N34" i="2"/>
  <c r="N22" i="2"/>
  <c r="N20" i="2"/>
  <c r="N28" i="2"/>
  <c r="P53" i="2"/>
  <c r="P54" i="2" s="1"/>
  <c r="N21" i="2"/>
  <c r="N47" i="2"/>
  <c r="N12" i="2"/>
  <c r="P50" i="2"/>
  <c r="N48" i="2"/>
  <c r="N33" i="2"/>
  <c r="N43" i="2"/>
  <c r="N19" i="2"/>
  <c r="N41" i="2"/>
  <c r="N9" i="2"/>
  <c r="N31" i="2"/>
  <c r="N18" i="2"/>
  <c r="N16" i="2"/>
  <c r="N53" i="2" s="1"/>
  <c r="N8" i="2"/>
</calcChain>
</file>

<file path=xl/comments1.xml><?xml version="1.0" encoding="utf-8"?>
<comments xmlns="http://schemas.openxmlformats.org/spreadsheetml/2006/main">
  <authors>
    <author>Kattia Monge Morales</author>
    <author>malvarez</author>
  </authors>
  <commentList>
    <comment ref="K45" authorId="0" shapeId="0">
      <text>
        <r>
          <rPr>
            <b/>
            <sz val="8"/>
            <color indexed="81"/>
            <rFont val="Tahoma"/>
            <family val="2"/>
          </rPr>
          <t>Kattia Monge Morales:</t>
        </r>
        <r>
          <rPr>
            <sz val="8"/>
            <color indexed="81"/>
            <rFont val="Tahoma"/>
            <family val="2"/>
          </rPr>
          <t xml:space="preserve">
incluye la partida de bienes duraderos de MAPI escenario full 2009
</t>
        </r>
      </text>
    </comment>
    <comment ref="M56" authorId="1" shapeId="0">
      <text>
        <r>
          <rPr>
            <b/>
            <sz val="8"/>
            <color indexed="81"/>
            <rFont val="Tahoma"/>
            <family val="2"/>
          </rPr>
          <t>Prueba Cuadro Dany</t>
        </r>
      </text>
    </comment>
  </commentList>
</comments>
</file>

<file path=xl/sharedStrings.xml><?xml version="1.0" encoding="utf-8"?>
<sst xmlns="http://schemas.openxmlformats.org/spreadsheetml/2006/main" count="2203" uniqueCount="729">
  <si>
    <t>JUNTA ADMINISTRATIVA DEL ARCHIVO NACIONAL</t>
  </si>
  <si>
    <t>ESTADO DE ORIGEN Y APLICACIÓN DE RECURSOS</t>
  </si>
  <si>
    <r>
      <t xml:space="preserve"> </t>
    </r>
    <r>
      <rPr>
        <b/>
        <sz val="12"/>
        <rFont val="Arial"/>
        <family val="2"/>
      </rPr>
      <t>(en colones)</t>
    </r>
  </si>
  <si>
    <t xml:space="preserve"> </t>
  </si>
  <si>
    <t>ORIGENES</t>
  </si>
  <si>
    <t>APLICACIONES</t>
  </si>
  <si>
    <t>Programa</t>
  </si>
  <si>
    <t xml:space="preserve">Programa </t>
  </si>
  <si>
    <t>PARTIDA</t>
  </si>
  <si>
    <t>MONTO</t>
  </si>
  <si>
    <t>No.1</t>
  </si>
  <si>
    <t>No.2</t>
  </si>
  <si>
    <t>No.3</t>
  </si>
  <si>
    <t>TOTAL</t>
  </si>
  <si>
    <t>INGRESOS CORRIENTES</t>
  </si>
  <si>
    <t>Ingresos Tributarios</t>
  </si>
  <si>
    <t>Remuneraciones</t>
  </si>
  <si>
    <t xml:space="preserve"> Ingresos propios</t>
  </si>
  <si>
    <t xml:space="preserve">Servicios </t>
  </si>
  <si>
    <t>Materiales y Suministros</t>
  </si>
  <si>
    <t>Bienes Duraderos</t>
  </si>
  <si>
    <t>Ingresos no tributarios</t>
  </si>
  <si>
    <t>Transferencias Corrientes</t>
  </si>
  <si>
    <t>Transferencia</t>
  </si>
  <si>
    <t>Servicios</t>
  </si>
  <si>
    <t>INGRESOS DE CAPITAL</t>
  </si>
  <si>
    <t>INGRESOS DE FINANCIAMIENTO</t>
  </si>
  <si>
    <t>Recursos de Vigencias Anteriores</t>
  </si>
  <si>
    <t>5.01.04 Equipo y mobiliario de oficina</t>
  </si>
  <si>
    <t>Superávit Libre</t>
  </si>
  <si>
    <t>Superávit Espécífico</t>
  </si>
  <si>
    <t>TOTALES</t>
  </si>
  <si>
    <t>INGRESOS</t>
  </si>
  <si>
    <t>(EXPRESADO EN  COLONES)</t>
  </si>
  <si>
    <t>GRUPOS Y RENGLONES</t>
  </si>
  <si>
    <t>ASIGNACION PRESUPUESTARIA</t>
  </si>
  <si>
    <t>%</t>
  </si>
  <si>
    <t>0</t>
  </si>
  <si>
    <t>00</t>
  </si>
  <si>
    <t>000</t>
  </si>
  <si>
    <t>INGRESOS TRIBUTARIOS</t>
  </si>
  <si>
    <t>OTROS INGRESOS TRIBUTARIOS</t>
  </si>
  <si>
    <t>1</t>
  </si>
  <si>
    <t>Imptos de Timbres</t>
  </si>
  <si>
    <t>01</t>
  </si>
  <si>
    <t>Timbre de Archivo Nacional</t>
  </si>
  <si>
    <t>INGRESOS NO TRIBUTARIOS</t>
  </si>
  <si>
    <t>Venta de Bienes y Servicios</t>
  </si>
  <si>
    <t>2</t>
  </si>
  <si>
    <t>Venta de Servicios</t>
  </si>
  <si>
    <t>09</t>
  </si>
  <si>
    <t>Otros Servicios</t>
  </si>
  <si>
    <t>Servicios de formación y capacitación</t>
  </si>
  <si>
    <t>Venta de Otros Servicios</t>
  </si>
  <si>
    <t xml:space="preserve">    Servicio  de Encuadernación de Protocolos</t>
  </si>
  <si>
    <t xml:space="preserve">    Venta de Servicios Varios</t>
  </si>
  <si>
    <t xml:space="preserve">     (Publicaciones, Restauraciones de documentos,</t>
  </si>
  <si>
    <t>ING PROPIOS</t>
  </si>
  <si>
    <t xml:space="preserve">      Fotografía, etc.</t>
  </si>
  <si>
    <t>SUPERAVIT</t>
  </si>
  <si>
    <t>3</t>
  </si>
  <si>
    <t xml:space="preserve">    Digitalización de Protocolos</t>
  </si>
  <si>
    <t>TOTAL ING JUNTA</t>
  </si>
  <si>
    <t>4</t>
  </si>
  <si>
    <t xml:space="preserve">    Servicio de entrega de índices notariales</t>
  </si>
  <si>
    <t>ING TRANSF</t>
  </si>
  <si>
    <t>TOTAL JTA + TRANSF</t>
  </si>
  <si>
    <t>TRANSFERENCIAS CORRIENTES</t>
  </si>
  <si>
    <t>Transferencias ctes. del Sector Público</t>
  </si>
  <si>
    <t>Transferencias ctes. Del Gobierno Central</t>
  </si>
  <si>
    <t xml:space="preserve">Transferencia de gastos ordinarios </t>
  </si>
  <si>
    <t>02</t>
  </si>
  <si>
    <t>Transferencia Derogatoria Impuesto Chequeras</t>
  </si>
  <si>
    <t>Transferencias del Sector Externo</t>
  </si>
  <si>
    <t>Transferencia de Organismos Internacionales</t>
  </si>
  <si>
    <t>TRANSFERENCIAS DE CAPITAL</t>
  </si>
  <si>
    <t>Transferencia de Organismos Interncionales</t>
  </si>
  <si>
    <t>Transferencia pro-construcción</t>
  </si>
  <si>
    <t>FINANCIAMIENTO</t>
  </si>
  <si>
    <t>RECURSOS DE VIGENCIAS ANTERIORES</t>
  </si>
  <si>
    <t>Superavit Libre</t>
  </si>
  <si>
    <t>Superávit Específico</t>
  </si>
  <si>
    <t xml:space="preserve">TOTAL </t>
  </si>
  <si>
    <t>CLASIFICACIÓN ECONÓMICA</t>
  </si>
  <si>
    <t>COD</t>
  </si>
  <si>
    <t>Subpartida</t>
  </si>
  <si>
    <t xml:space="preserve">Total </t>
  </si>
  <si>
    <t>Gastos Corrientes</t>
  </si>
  <si>
    <t>Gastos de Consumo</t>
  </si>
  <si>
    <t>1.1.1</t>
  </si>
  <si>
    <t>1.1.1.1</t>
  </si>
  <si>
    <t xml:space="preserve">      Sueldos y salarios </t>
  </si>
  <si>
    <t>1.1.1.2</t>
  </si>
  <si>
    <t xml:space="preserve">      Contribuciones sociales</t>
  </si>
  <si>
    <t>1.1.2</t>
  </si>
  <si>
    <t>Adquisición de Bienes y Servicios</t>
  </si>
  <si>
    <t>1.3.1</t>
  </si>
  <si>
    <t>Transferencias corrientes al Sector Público</t>
  </si>
  <si>
    <t>1.3.2</t>
  </si>
  <si>
    <t>Transferencias corrientes al Sector Privado</t>
  </si>
  <si>
    <t>1.3.3</t>
  </si>
  <si>
    <t>Transferencias corrientes al Sector Externo</t>
  </si>
  <si>
    <t xml:space="preserve">Gastos de Capital </t>
  </si>
  <si>
    <t xml:space="preserve">Formación de Capital </t>
  </si>
  <si>
    <t>2.1.1</t>
  </si>
  <si>
    <t>Edificaciones</t>
  </si>
  <si>
    <t>2.1.4</t>
  </si>
  <si>
    <t>Instalaciones</t>
  </si>
  <si>
    <t>Adquisición de Activos</t>
  </si>
  <si>
    <t>2.2.1</t>
  </si>
  <si>
    <t xml:space="preserve">Maquinaria y equipo </t>
  </si>
  <si>
    <t xml:space="preserve">2.2.4 </t>
  </si>
  <si>
    <t>Intangibles</t>
  </si>
  <si>
    <t>2.2.5</t>
  </si>
  <si>
    <t xml:space="preserve">Activos de valor </t>
  </si>
  <si>
    <t>Total General</t>
  </si>
  <si>
    <t>Nota: Gastos de Capital contempla gastos capitalizables por un monto de ¢92.698.623.43 (partida 1.08 Mantenimientos) (Proyectos : COD BPIP 002410 Obras y equipamientos menores para operación del Archivo Nacional  por un monto ¢164,924,223.43 y COD BPIP 001981 Construcción y equipamiento de un edificio del Archivo Nacional por un monto ¢267,721,800).</t>
  </si>
  <si>
    <t>Nota: Gastos de Capital contempla los gastos de los  Proyectos de Inversión Pública inscritos BPIP de MIDEPLAN : 
COD BPIP 002410 Obras y equipamientos menores para operación del Archivo Nacional  por un monto ¢164,924,223.43 . Este proyecto contempla gastos capitalizables por un monto de ¢92.698.623.43 de la  partida 1.08 Mantenimientos.
COD BPIP 001981 Construcción y equipamiento de un edificio del Archivo Nacional por un monto ¢267,721,800</t>
  </si>
  <si>
    <t>PRESUPUESTO ORDINARIO 2020</t>
  </si>
  <si>
    <t>CLASIFICACION DE GASTOS GLOBAL</t>
  </si>
  <si>
    <t>DATOS EN COLONES</t>
  </si>
  <si>
    <t>COD.</t>
  </si>
  <si>
    <t>DESCRIPCION DE PARTIDAS
Y SUBPARTIDAS</t>
  </si>
  <si>
    <t xml:space="preserve">Global </t>
  </si>
  <si>
    <t>TOTAL
PRESUPUESTO</t>
  </si>
  <si>
    <t>PROGRAMA</t>
  </si>
  <si>
    <t>TOTAL GENERAL</t>
  </si>
  <si>
    <t>REMUNERACIONES</t>
  </si>
  <si>
    <t xml:space="preserve">0.01   </t>
  </si>
  <si>
    <t>REMUNERACIONES BÁSICAS</t>
  </si>
  <si>
    <t xml:space="preserve">0.01.01 </t>
  </si>
  <si>
    <t>Sueldos para cargos fijos</t>
  </si>
  <si>
    <t xml:space="preserve">0.01.02 </t>
  </si>
  <si>
    <t>Jornales</t>
  </si>
  <si>
    <t xml:space="preserve">0.01.03 </t>
  </si>
  <si>
    <t>Servicios especiales</t>
  </si>
  <si>
    <t>0.01.04</t>
  </si>
  <si>
    <t>Sueldos a base de comisión</t>
  </si>
  <si>
    <t xml:space="preserve">0.01.05 </t>
  </si>
  <si>
    <t>Suplencias</t>
  </si>
  <si>
    <t xml:space="preserve">0.02     </t>
  </si>
  <si>
    <t>REMUNERACIONES EVENTUALES</t>
  </si>
  <si>
    <t xml:space="preserve">0.02.01 </t>
  </si>
  <si>
    <t>Tiempo extraordinario</t>
  </si>
  <si>
    <t>0.02.02</t>
  </si>
  <si>
    <t>Recargo de funciones</t>
  </si>
  <si>
    <t xml:space="preserve">0.02.03 </t>
  </si>
  <si>
    <t>Disponibilidad laboral</t>
  </si>
  <si>
    <t>0.02.04</t>
  </si>
  <si>
    <t>Compensación de vacaciones</t>
  </si>
  <si>
    <t xml:space="preserve">0.02.05 </t>
  </si>
  <si>
    <t>Dietas</t>
  </si>
  <si>
    <t xml:space="preserve">0.03      </t>
  </si>
  <si>
    <t>INCENTIVOS SALARIALES</t>
  </si>
  <si>
    <t xml:space="preserve">0.03.01 </t>
  </si>
  <si>
    <t>Retribución por años servidos</t>
  </si>
  <si>
    <t xml:space="preserve">0.03.02 </t>
  </si>
  <si>
    <t>Restricción al ejercicio liberal de la profesión</t>
  </si>
  <si>
    <t>0.03.03</t>
  </si>
  <si>
    <t>Decimotercer mes</t>
  </si>
  <si>
    <t xml:space="preserve">0.03.04 </t>
  </si>
  <si>
    <t>Salario escolar</t>
  </si>
  <si>
    <t xml:space="preserve">0.03.99 </t>
  </si>
  <si>
    <t>Otros incentivos salariales</t>
  </si>
  <si>
    <t xml:space="preserve">0.04     </t>
  </si>
  <si>
    <t>CONTRIBUCIONES PATRONALES AL DESARROLLO Y LA SEGURIDAD SOCIAL</t>
  </si>
  <si>
    <t xml:space="preserve">0.04.01 </t>
  </si>
  <si>
    <t>Contribución Patronal al Seguro de Salud de la Caja Costarricense del Seguro Social.</t>
  </si>
  <si>
    <t xml:space="preserve">0.04.02 </t>
  </si>
  <si>
    <t>Contribución Patronal al Instituto Mixto de Ayuda Social</t>
  </si>
  <si>
    <t xml:space="preserve">0.04.03 </t>
  </si>
  <si>
    <t>Contribución Patronal al Instituto Nacional de Aprendizaje</t>
  </si>
  <si>
    <t xml:space="preserve">0.04.04 </t>
  </si>
  <si>
    <t>Contribución Patronal al Fondo de Desarrollo Social y Asignaciones Familiares.</t>
  </si>
  <si>
    <t>0.04.05</t>
  </si>
  <si>
    <t>Contribución Patronal al Banco Popular y de Desarrollo Comunal</t>
  </si>
  <si>
    <t xml:space="preserve">0.05     </t>
  </si>
  <si>
    <t>CONTRIBUCIONES PATRONALES A FONDOS DE PENSIONES Y OTROS FONDOS DE CAPITALIZACIÓN</t>
  </si>
  <si>
    <t xml:space="preserve">0.05.01 </t>
  </si>
  <si>
    <t>Contribución Patronal al Seguro de Pensiones de la Caja Costarricense del Seguro Social.</t>
  </si>
  <si>
    <t xml:space="preserve">0.05.02 </t>
  </si>
  <si>
    <t>Aporte Patronal al Régimen Obligatorio de Pensiones Complementarias.</t>
  </si>
  <si>
    <t xml:space="preserve">0.05.03 </t>
  </si>
  <si>
    <t>Aporte Patronal al Fondo de Capitalización Laboral</t>
  </si>
  <si>
    <t xml:space="preserve">0.05.04 </t>
  </si>
  <si>
    <t>Contribución Patronal a otros fondos administrados por entes públicos.</t>
  </si>
  <si>
    <t xml:space="preserve">0.05.05 </t>
  </si>
  <si>
    <t>Contribución Patronal a fondos administrados por entes privados</t>
  </si>
  <si>
    <t xml:space="preserve">0 .99 </t>
  </si>
  <si>
    <t>REMUNERACIONES DIVERSAS</t>
  </si>
  <si>
    <t xml:space="preserve">0. 99. 01 </t>
  </si>
  <si>
    <t>Gastos de representación personal</t>
  </si>
  <si>
    <t xml:space="preserve">0 .99. 99 </t>
  </si>
  <si>
    <t>Otras remuneraciones</t>
  </si>
  <si>
    <t xml:space="preserve"> SERVICIOS</t>
  </si>
  <si>
    <t xml:space="preserve">1.01      </t>
  </si>
  <si>
    <t>ALQUILERES</t>
  </si>
  <si>
    <t xml:space="preserve">1.01.01 </t>
  </si>
  <si>
    <t>Alquiler de edificios, locales y terrenos</t>
  </si>
  <si>
    <t>1.01.02</t>
  </si>
  <si>
    <t>Alquiler de maquinaria, equipo y mobiliario</t>
  </si>
  <si>
    <t xml:space="preserve">1.01.03 </t>
  </si>
  <si>
    <t>Alquiler de equipo de cómputo</t>
  </si>
  <si>
    <t xml:space="preserve">1.01.04 </t>
  </si>
  <si>
    <t>Alquiler y derechos para telecomunicaciones</t>
  </si>
  <si>
    <t xml:space="preserve">1.01.99 </t>
  </si>
  <si>
    <t>Otros alquileres</t>
  </si>
  <si>
    <t xml:space="preserve">1.02      </t>
  </si>
  <si>
    <t>SERVICIOS BÁSICOS</t>
  </si>
  <si>
    <t xml:space="preserve">1.02.01 </t>
  </si>
  <si>
    <t>Servicio de agua y alcantarillado</t>
  </si>
  <si>
    <t xml:space="preserve">1.02.02 </t>
  </si>
  <si>
    <t>Servicio de energía eléctrica</t>
  </si>
  <si>
    <t xml:space="preserve">1.02.03 </t>
  </si>
  <si>
    <t>Servicio de correo</t>
  </si>
  <si>
    <t xml:space="preserve">1.02.04 </t>
  </si>
  <si>
    <t>Servicio de telecomunicaciones</t>
  </si>
  <si>
    <t xml:space="preserve">1.02.99 </t>
  </si>
  <si>
    <t>Otros servicios básicos</t>
  </si>
  <si>
    <t xml:space="preserve">1.03      </t>
  </si>
  <si>
    <t>SERVICIOS COMERCIALES Y FINANCIEROS</t>
  </si>
  <si>
    <t xml:space="preserve">1.03.01 </t>
  </si>
  <si>
    <t>Información</t>
  </si>
  <si>
    <t xml:space="preserve">1.03.02 </t>
  </si>
  <si>
    <t>Publicidad y propaganda</t>
  </si>
  <si>
    <t xml:space="preserve">1.03.03 </t>
  </si>
  <si>
    <t>Impresión, encuadernación y otros</t>
  </si>
  <si>
    <t xml:space="preserve">1.03.04 </t>
  </si>
  <si>
    <t>Transporte de bienes</t>
  </si>
  <si>
    <t xml:space="preserve">1.03.05 </t>
  </si>
  <si>
    <t>Servicios aduaneros</t>
  </si>
  <si>
    <t xml:space="preserve">1.03.06 </t>
  </si>
  <si>
    <t>Comisiones y gastos por servicios financieros y comerciales</t>
  </si>
  <si>
    <t xml:space="preserve">1.03.07 </t>
  </si>
  <si>
    <t>Servicios de tecnologías de información</t>
  </si>
  <si>
    <t xml:space="preserve">1.04      </t>
  </si>
  <si>
    <t>SERVICIOS DE GESTIÓN Y APOYO</t>
  </si>
  <si>
    <t xml:space="preserve">1.04.01 </t>
  </si>
  <si>
    <t xml:space="preserve">Servicios en ciencias de la salud </t>
  </si>
  <si>
    <t xml:space="preserve">1.04.02 </t>
  </si>
  <si>
    <t>Servicios jurídicos</t>
  </si>
  <si>
    <t xml:space="preserve">1.04.03 </t>
  </si>
  <si>
    <t>Servicios de ingeniería y arquitectura</t>
  </si>
  <si>
    <t xml:space="preserve">1.04.04 </t>
  </si>
  <si>
    <t>Servicios en ciencias económicas y sociales</t>
  </si>
  <si>
    <t xml:space="preserve">1.04.05 </t>
  </si>
  <si>
    <t>Servicios informáticos</t>
  </si>
  <si>
    <t xml:space="preserve">1.04.06 </t>
  </si>
  <si>
    <t>Servicios generales</t>
  </si>
  <si>
    <t>1.04.99</t>
  </si>
  <si>
    <t>Otros servicios de gestión y apoyo</t>
  </si>
  <si>
    <t xml:space="preserve">1.05      </t>
  </si>
  <si>
    <t>GASTOS DE VIAJE Y DE TRANSPORTE</t>
  </si>
  <si>
    <t xml:space="preserve">1.05.01 </t>
  </si>
  <si>
    <t>Transporte dentro del país</t>
  </si>
  <si>
    <t xml:space="preserve">1.05.02 </t>
  </si>
  <si>
    <t>Viáticos dentro del país</t>
  </si>
  <si>
    <t xml:space="preserve">1.05.03 </t>
  </si>
  <si>
    <t>Transporte en el exterior</t>
  </si>
  <si>
    <t xml:space="preserve">1.05.04 </t>
  </si>
  <si>
    <t>Viáticos en el exterior</t>
  </si>
  <si>
    <t>1.06</t>
  </si>
  <si>
    <t>SEGUROS, REASEGUROS Y OTRAS OBLIGACIONES</t>
  </si>
  <si>
    <t xml:space="preserve">1.06.01 </t>
  </si>
  <si>
    <t>Seguros</t>
  </si>
  <si>
    <t xml:space="preserve">1.06.02 </t>
  </si>
  <si>
    <t>Reaseguros</t>
  </si>
  <si>
    <t xml:space="preserve">1.06.03 </t>
  </si>
  <si>
    <t>Obligaciones por contratos de seguros</t>
  </si>
  <si>
    <t xml:space="preserve">1.07      </t>
  </si>
  <si>
    <t>CAPACITACIÓN Y PROTOCOLO</t>
  </si>
  <si>
    <t xml:space="preserve">1.07.01 </t>
  </si>
  <si>
    <t>Actividades de capacitación</t>
  </si>
  <si>
    <t xml:space="preserve">1.07.02 </t>
  </si>
  <si>
    <t>Actividades protocolarias y sociales</t>
  </si>
  <si>
    <t xml:space="preserve">1.07.03 </t>
  </si>
  <si>
    <t>Gastos de representación institucional</t>
  </si>
  <si>
    <t xml:space="preserve">1.08      </t>
  </si>
  <si>
    <t>MANTENIMIENTO Y REPARACIÓN</t>
  </si>
  <si>
    <t xml:space="preserve">1.08.01 </t>
  </si>
  <si>
    <t>Mantenimiento de edificios y locales</t>
  </si>
  <si>
    <t xml:space="preserve">1.08.02 </t>
  </si>
  <si>
    <t>Mantenimiento de vías de comunicación</t>
  </si>
  <si>
    <t xml:space="preserve">1.08.03 </t>
  </si>
  <si>
    <t>Mantenimiento de instalaciones y otras obras</t>
  </si>
  <si>
    <t xml:space="preserve">1.08.04 </t>
  </si>
  <si>
    <t>Mantenimiento y reparación de maquinaria y equipo de producción</t>
  </si>
  <si>
    <t xml:space="preserve">1.08.05 </t>
  </si>
  <si>
    <t>Mantenimiento y reparación de equipo de transporte</t>
  </si>
  <si>
    <t xml:space="preserve">1.08.06 </t>
  </si>
  <si>
    <t>Mantenimiento y reparación de equipo de comunicación</t>
  </si>
  <si>
    <t xml:space="preserve">1.08.07 </t>
  </si>
  <si>
    <t>Mantenimiento y reparación de equipo y mobiliario de oficina</t>
  </si>
  <si>
    <t xml:space="preserve">1.08.08 </t>
  </si>
  <si>
    <t>Mantenimiento y reparación de equipo de cómputo y sistemas de información</t>
  </si>
  <si>
    <t xml:space="preserve">1.08.99 </t>
  </si>
  <si>
    <t>Mantenimiento y reparación de otros equipos</t>
  </si>
  <si>
    <t xml:space="preserve">1.09      </t>
  </si>
  <si>
    <t>IMPUESTOS</t>
  </si>
  <si>
    <t xml:space="preserve">1.09.01 </t>
  </si>
  <si>
    <t>Impuestos sobre ingresos y utilidades</t>
  </si>
  <si>
    <t xml:space="preserve">1.09.02 </t>
  </si>
  <si>
    <t>Impuestos sobre bienes inmuebles</t>
  </si>
  <si>
    <t xml:space="preserve">1.09.03 </t>
  </si>
  <si>
    <t>Impuestos de patentes</t>
  </si>
  <si>
    <t xml:space="preserve">1.09.99 </t>
  </si>
  <si>
    <t>Otros impuestos</t>
  </si>
  <si>
    <t xml:space="preserve">1.99     </t>
  </si>
  <si>
    <t>SERVICIOS DIVERSOS</t>
  </si>
  <si>
    <t xml:space="preserve">1.99.01 </t>
  </si>
  <si>
    <t>Servicios de regulación</t>
  </si>
  <si>
    <t xml:space="preserve">1.99.02 </t>
  </si>
  <si>
    <t>Intereses moratorios y multas</t>
  </si>
  <si>
    <t xml:space="preserve">1.99.03 </t>
  </si>
  <si>
    <t>Gastos de oficinas en el exterior</t>
  </si>
  <si>
    <t xml:space="preserve">1.99.04 </t>
  </si>
  <si>
    <t>Gastos de misiones especiales en el exterior</t>
  </si>
  <si>
    <t xml:space="preserve">1.99.05 </t>
  </si>
  <si>
    <t>Deducibles</t>
  </si>
  <si>
    <t xml:space="preserve">1.99.99 </t>
  </si>
  <si>
    <t>Otros servicios no especificados</t>
  </si>
  <si>
    <t>MATERIALES Y SUMINISTROS</t>
  </si>
  <si>
    <t xml:space="preserve">2 .01     </t>
  </si>
  <si>
    <t>PRODUCTOS QUÍMICOS Y CONEXOS</t>
  </si>
  <si>
    <t xml:space="preserve">2.01.01 </t>
  </si>
  <si>
    <t>Combustibles y lubricantes</t>
  </si>
  <si>
    <t xml:space="preserve">2.01.02 </t>
  </si>
  <si>
    <t>Productos farmacéuticos y medicinales</t>
  </si>
  <si>
    <t xml:space="preserve">2.01.03 </t>
  </si>
  <si>
    <t>Productos veterinarios</t>
  </si>
  <si>
    <t xml:space="preserve">2.01.04 </t>
  </si>
  <si>
    <t>Tintas, pinturas y diluyentes</t>
  </si>
  <si>
    <t xml:space="preserve">2.01.99 </t>
  </si>
  <si>
    <t>Otros productos químicos y conexos</t>
  </si>
  <si>
    <t xml:space="preserve">2.02      </t>
  </si>
  <si>
    <t>ALIMENTOS Y PRODUCTOS AGROPECUARIOS</t>
  </si>
  <si>
    <t xml:space="preserve">2.02.01 </t>
  </si>
  <si>
    <t>Productos pecuarios y otras especies</t>
  </si>
  <si>
    <t xml:space="preserve">2.02.02 </t>
  </si>
  <si>
    <t>Productos agroforestales</t>
  </si>
  <si>
    <t xml:space="preserve">2.02.03 </t>
  </si>
  <si>
    <t>Alimentos y bebidas</t>
  </si>
  <si>
    <t xml:space="preserve">2.02.04 </t>
  </si>
  <si>
    <t>Alimentos para animales</t>
  </si>
  <si>
    <t xml:space="preserve">2.03    </t>
  </si>
  <si>
    <t>MATERIALES Y PRODUCTOS DE USO EN LA  CONSTRUCCIÓN Y MANTENIMIENTO</t>
  </si>
  <si>
    <t xml:space="preserve">2.03.01 </t>
  </si>
  <si>
    <t>Materiales y productos metálicos</t>
  </si>
  <si>
    <t xml:space="preserve">2.03.02 </t>
  </si>
  <si>
    <t>Materiales y productos minerales y asfálticos</t>
  </si>
  <si>
    <t xml:space="preserve">2.03.03 </t>
  </si>
  <si>
    <t>Madera y sus derivados</t>
  </si>
  <si>
    <t xml:space="preserve">2.03.04 </t>
  </si>
  <si>
    <t>Materiales y productos eléctricos, telefónicos y de cómputo</t>
  </si>
  <si>
    <t xml:space="preserve">2.03.05 </t>
  </si>
  <si>
    <t>Materiales y productos de vidrio</t>
  </si>
  <si>
    <t xml:space="preserve">2.03.06 </t>
  </si>
  <si>
    <t>Materiales y productos de plástico</t>
  </si>
  <si>
    <t xml:space="preserve">2.03.99 </t>
  </si>
  <si>
    <t>Otros materiales y productos de uso en la construcción</t>
  </si>
  <si>
    <t xml:space="preserve">2.04      </t>
  </si>
  <si>
    <t>HERRAMIENTAS, REPUESTOS Y ACCESORIOS</t>
  </si>
  <si>
    <t xml:space="preserve">2.04.01 </t>
  </si>
  <si>
    <t>Herramientas e instrumentos</t>
  </si>
  <si>
    <t xml:space="preserve">2.04.02 </t>
  </si>
  <si>
    <t>Repuestos y accesorios</t>
  </si>
  <si>
    <t>BIENES PARA LA PRODUCCIÓN Y COMERCIALIZACIÓN</t>
  </si>
  <si>
    <t xml:space="preserve">2.05.01 </t>
  </si>
  <si>
    <t>Materia prima</t>
  </si>
  <si>
    <t xml:space="preserve">2.05.02 </t>
  </si>
  <si>
    <t>Productos terminados</t>
  </si>
  <si>
    <t xml:space="preserve">2.05.03 </t>
  </si>
  <si>
    <t>Energía eléctrica</t>
  </si>
  <si>
    <t xml:space="preserve">2.05.99 </t>
  </si>
  <si>
    <t>Otros bienes para la producción y comercialización</t>
  </si>
  <si>
    <t xml:space="preserve">2.99      </t>
  </si>
  <si>
    <t>ÚTILES, MATERIALES Y SUMINISTROS DIVERSOS</t>
  </si>
  <si>
    <t xml:space="preserve">2.99.01 </t>
  </si>
  <si>
    <t>Útiles y materiales de oficina y cómputo</t>
  </si>
  <si>
    <t xml:space="preserve">2.99.02 </t>
  </si>
  <si>
    <t>Útiles y materiales médico, hospitalario y de investigación</t>
  </si>
  <si>
    <t xml:space="preserve">2.99.03 </t>
  </si>
  <si>
    <t>Productos de papel, cartón e impresos</t>
  </si>
  <si>
    <t xml:space="preserve">2.99.04 </t>
  </si>
  <si>
    <t>Textiles y vestuario</t>
  </si>
  <si>
    <t xml:space="preserve">2.99.05 </t>
  </si>
  <si>
    <t>Útiles y materiales de limpieza</t>
  </si>
  <si>
    <t xml:space="preserve">2.99.06 </t>
  </si>
  <si>
    <t>Útiles y materiales de resguardo y seguridad</t>
  </si>
  <si>
    <t xml:space="preserve">2.99.07 </t>
  </si>
  <si>
    <t>Útiles y materiales de cocina y comedor</t>
  </si>
  <si>
    <t xml:space="preserve">2.99.99 </t>
  </si>
  <si>
    <t>Otros útiles, materiales y suministros</t>
  </si>
  <si>
    <t>BIENES DURADEROS</t>
  </si>
  <si>
    <t xml:space="preserve">5.01     </t>
  </si>
  <si>
    <t xml:space="preserve"> MAQUINARIA, EQUIPO Y MOBILIARIO</t>
  </si>
  <si>
    <t xml:space="preserve">5.01.01 </t>
  </si>
  <si>
    <t>Maquinaria y equipo para la producción</t>
  </si>
  <si>
    <t xml:space="preserve">5.01.02 </t>
  </si>
  <si>
    <t>Equipo de transporte</t>
  </si>
  <si>
    <t xml:space="preserve">5.01.03 </t>
  </si>
  <si>
    <t>Equipo de comunicación</t>
  </si>
  <si>
    <t xml:space="preserve">5.01.04 </t>
  </si>
  <si>
    <t>Equipo y mobiliario de oficina</t>
  </si>
  <si>
    <t xml:space="preserve">5.01.05 </t>
  </si>
  <si>
    <t>Equipo de cómputo</t>
  </si>
  <si>
    <t xml:space="preserve">5.01.06 </t>
  </si>
  <si>
    <t>Equipo sanitario, de laboratorio e investigación</t>
  </si>
  <si>
    <t>5.01.07</t>
  </si>
  <si>
    <t>Equipo y mobiliario educacional, deportivo y recreativo</t>
  </si>
  <si>
    <t xml:space="preserve">5.01.99 </t>
  </si>
  <si>
    <t>Maquinaria, equipo y mobiliario diverso</t>
  </si>
  <si>
    <t>CONSTRUCCIONES, ADICIONES Y MEJORAS</t>
  </si>
  <si>
    <t xml:space="preserve">5.02.01 </t>
  </si>
  <si>
    <t>Edificios</t>
  </si>
  <si>
    <t xml:space="preserve">5.02.02 </t>
  </si>
  <si>
    <t>Vías de comunicación terrestre</t>
  </si>
  <si>
    <t xml:space="preserve">5.02.03 </t>
  </si>
  <si>
    <t>Vías férreas</t>
  </si>
  <si>
    <t xml:space="preserve">5.02.04 </t>
  </si>
  <si>
    <t>Obras marítimas y fluviales</t>
  </si>
  <si>
    <t xml:space="preserve">5.02.05 </t>
  </si>
  <si>
    <t>Aeropuertos</t>
  </si>
  <si>
    <t xml:space="preserve">5.02.06 </t>
  </si>
  <si>
    <t>Obras urbanísticas</t>
  </si>
  <si>
    <t xml:space="preserve">5.02.07 </t>
  </si>
  <si>
    <t xml:space="preserve">5.02.99 </t>
  </si>
  <si>
    <t>Otras construcciones, adiciones y mejoras</t>
  </si>
  <si>
    <t>BIENES PREEXISTENTES</t>
  </si>
  <si>
    <t xml:space="preserve">5.03.01 </t>
  </si>
  <si>
    <t>Terrenos</t>
  </si>
  <si>
    <t xml:space="preserve">5.03.02 </t>
  </si>
  <si>
    <t>Edificios preexistentes</t>
  </si>
  <si>
    <t xml:space="preserve">5.03.99 </t>
  </si>
  <si>
    <t>Otras obras preexistentes</t>
  </si>
  <si>
    <t xml:space="preserve">5.99 </t>
  </si>
  <si>
    <t>BIENES DURADEROS DIVERSOS</t>
  </si>
  <si>
    <t xml:space="preserve">5.99.01 </t>
  </si>
  <si>
    <t>Semovientes</t>
  </si>
  <si>
    <t xml:space="preserve">5.99.02 </t>
  </si>
  <si>
    <t>Piezas y obras de colección</t>
  </si>
  <si>
    <t xml:space="preserve">5.99.03 </t>
  </si>
  <si>
    <t>Bienes intangibles</t>
  </si>
  <si>
    <t xml:space="preserve">5.99.99 </t>
  </si>
  <si>
    <t>Otros bienes duraderos</t>
  </si>
  <si>
    <t xml:space="preserve">6.01 </t>
  </si>
  <si>
    <t>TRANSFERENCIAS CORRIENTES AL SECTOR PÚBLICO</t>
  </si>
  <si>
    <t xml:space="preserve">6.01.01 </t>
  </si>
  <si>
    <t>Transferencias corrientes al Gobierno Central</t>
  </si>
  <si>
    <t xml:space="preserve">6.01.02 </t>
  </si>
  <si>
    <t>Transferencias corrientes a Órganos Desconcentrados</t>
  </si>
  <si>
    <t xml:space="preserve">6.01.03 </t>
  </si>
  <si>
    <t>Transferencias corrientes a Instituciones Descentralizadas no Empresariales</t>
  </si>
  <si>
    <t xml:space="preserve">6.01.04 </t>
  </si>
  <si>
    <t>Transferencias corrientes a Gobiernos Locales</t>
  </si>
  <si>
    <t xml:space="preserve">6.01.05 </t>
  </si>
  <si>
    <t>Transferencias corrientes a Empresas Públicas no Financieras</t>
  </si>
  <si>
    <t xml:space="preserve">6.01.06 </t>
  </si>
  <si>
    <t>Transferencias corrientes a Instituciones Públicas Financieras</t>
  </si>
  <si>
    <t xml:space="preserve">6.01.07 </t>
  </si>
  <si>
    <t>Dividendos</t>
  </si>
  <si>
    <t xml:space="preserve">6.01.08 </t>
  </si>
  <si>
    <t>Fondos en fideicomiso para gasto corriente</t>
  </si>
  <si>
    <t xml:space="preserve">6.01.09 </t>
  </si>
  <si>
    <t>Impuestos por transferir</t>
  </si>
  <si>
    <t>TRANSFERENCIAS CORRIENTES A PERSONAS</t>
  </si>
  <si>
    <t xml:space="preserve">6.02.01 </t>
  </si>
  <si>
    <t>Becas a funcionarios</t>
  </si>
  <si>
    <t xml:space="preserve">6.02.02 </t>
  </si>
  <si>
    <t>Becas a terceras personas</t>
  </si>
  <si>
    <t xml:space="preserve">6.02.03 </t>
  </si>
  <si>
    <t>Ayudas a funcionarios</t>
  </si>
  <si>
    <t xml:space="preserve">6.02.99 </t>
  </si>
  <si>
    <t>Otras transferencias a personas</t>
  </si>
  <si>
    <t>PRESTACIONES</t>
  </si>
  <si>
    <t xml:space="preserve">6.03.01 </t>
  </si>
  <si>
    <t>Prestaciones legales</t>
  </si>
  <si>
    <t xml:space="preserve">6.03.02 </t>
  </si>
  <si>
    <t>Pensiones y jubilaciones contributivas</t>
  </si>
  <si>
    <t xml:space="preserve">6.03.03 </t>
  </si>
  <si>
    <t>Pensiones no contributivas</t>
  </si>
  <si>
    <t xml:space="preserve">6.03.04 </t>
  </si>
  <si>
    <t>Decimotercer mes de pensiones y jubilaciones</t>
  </si>
  <si>
    <t xml:space="preserve">6.03.99 </t>
  </si>
  <si>
    <t xml:space="preserve">Otras prestaciones </t>
  </si>
  <si>
    <t>TRANSFERENCIAS CORRIENTES A ENTIDADES PRIVADAS SIN FINES DE LUCRO</t>
  </si>
  <si>
    <t xml:space="preserve">6.04.01 </t>
  </si>
  <si>
    <t>Transferencias corrientes a asociaciones</t>
  </si>
  <si>
    <t xml:space="preserve">6.04.02 </t>
  </si>
  <si>
    <t>Transferencias corrientes a fundaciones</t>
  </si>
  <si>
    <t xml:space="preserve">6.04.03 </t>
  </si>
  <si>
    <t>Transferencias corrientes a cooperativas</t>
  </si>
  <si>
    <t xml:space="preserve">6.04.04 </t>
  </si>
  <si>
    <t>Transferencias corrientes a otras entidades privadas sin fines de lucro</t>
  </si>
  <si>
    <t>TRANSFERENCIAS CORRIENTES A EMPRESAS PRIVADAS</t>
  </si>
  <si>
    <t xml:space="preserve">6.05.01 </t>
  </si>
  <si>
    <t>Transferencias corrientes a empresas privadas</t>
  </si>
  <si>
    <t>OTRAS TRANSFERENCIAS CORRIENTES AL SECTOR PRIVADO</t>
  </si>
  <si>
    <t xml:space="preserve">6.06.01 </t>
  </si>
  <si>
    <t>Indemnizaciones</t>
  </si>
  <si>
    <t xml:space="preserve">6.06.02 </t>
  </si>
  <si>
    <t>Reintegros o devoluciones</t>
  </si>
  <si>
    <t xml:space="preserve">6.07 </t>
  </si>
  <si>
    <t>TRANSFERENCIAS CORRIENTES AL SECTOR EXTERNO</t>
  </si>
  <si>
    <t xml:space="preserve">6.07.01 </t>
  </si>
  <si>
    <t>Transferencias corrientes a organismos internacionales</t>
  </si>
  <si>
    <t xml:space="preserve">6.07.02 </t>
  </si>
  <si>
    <t>Otras transferencias corrientes al sector externo</t>
  </si>
  <si>
    <t>CUENTAS ESPECIALES</t>
  </si>
  <si>
    <t>CUENTAS ESPECIALES DIVERSAS</t>
  </si>
  <si>
    <t xml:space="preserve">9.01.01 </t>
  </si>
  <si>
    <t>Gastos confidenciales</t>
  </si>
  <si>
    <t xml:space="preserve">9.02  </t>
  </si>
  <si>
    <t>SUMAS SIN ASIGNACIÓN PRESUPUESTARIA</t>
  </si>
  <si>
    <t xml:space="preserve">9.02.01 </t>
  </si>
  <si>
    <t>Sumas libres sin asignación presupuestaria</t>
  </si>
  <si>
    <t xml:space="preserve">9.02.02 </t>
  </si>
  <si>
    <t>Sumas con destino específico sin asignación presupuestaria</t>
  </si>
  <si>
    <t>CLASIFICACION DE GASTOS DE TRANSFERENCIA</t>
  </si>
  <si>
    <t xml:space="preserve"> PRESUPUESTO ORDINARIO 2020</t>
  </si>
  <si>
    <t>CLASIFICACION DE GASTOS DE INGRESOS PROPIOS</t>
  </si>
  <si>
    <t>EN MILES</t>
  </si>
  <si>
    <t>Ingresos Propios</t>
  </si>
  <si>
    <t>JUSTIFICACIÓN DEL GASTO POR INGRESOS PROPIOS</t>
  </si>
  <si>
    <t>OBJETO DEL
GASTO INGRESOS PROPIOS</t>
  </si>
  <si>
    <t>Monto por Departamento</t>
  </si>
  <si>
    <t>DEPARTAMENTO</t>
  </si>
  <si>
    <t>JUSTIFICACIÓN</t>
  </si>
  <si>
    <t>Departamento  Dirección General</t>
  </si>
  <si>
    <t>Dieta estimada para el 2020 para los miembros de la Junta Administrativa del Archivo Nacional: (2019=  ¢22.529,93.  Para un total de 2 miembros que devengan la dieta y por 48 sesiones, total ¢2.162.873,28 Prog. 2</t>
  </si>
  <si>
    <t>1.02.03</t>
  </si>
  <si>
    <t xml:space="preserve">Servicio de correo </t>
  </si>
  <si>
    <t xml:space="preserve">Departamento de Archivo Notarial </t>
  </si>
  <si>
    <t>Se requiere para la remisión de las reproducciones  vía courier que cancelan previamente los usuarios.</t>
  </si>
  <si>
    <r>
      <t>_Para la publicación de circulares, directrices, resoluciones y otros documentos producidos en la Dirección General y Junta Administrativa, en el Diario Oficial La Gaceta: ¢1.350.000,00. Prog.  2
_</t>
    </r>
    <r>
      <rPr>
        <b/>
        <sz val="10"/>
        <rFont val="Arial"/>
        <family val="2"/>
      </rPr>
      <t>Dentro de esta subpartida se incluye la suma de ¢150.000.00, para pautar con el SINART, S.A. de acuerdo con el inciso C. artículo 19 de la Ley 8346. Prog. 2</t>
    </r>
  </si>
  <si>
    <r>
      <t xml:space="preserve">Comunicados en prensa escrita, televisiva y radial: 
_Avisos para actividades relevantes programadas por la Unidad de Proyección Institucional (alrededor de 2 avisos, tamaño 3 x 3 ): ¢900,000,00 Prog. 1 
_Pautas en algún medio digital, impreso o radiofónico para promocionar las actividades de difusión cultural y educativa del Archivo Nacional. ¢1.125.000,00. Prog. 1
Total Prog 1: ¢2.250.000,00
</t>
    </r>
    <r>
      <rPr>
        <b/>
        <sz val="10"/>
        <rFont val="Arial"/>
        <family val="2"/>
      </rPr>
      <t>Dentro de esta subpartida se incluye la suma de ¢225 000.00, para pautar con el SINART, S.A. de acuerdo con el inciso C. artículo 19 de la Ley 8346. Prog. 2</t>
    </r>
  </si>
  <si>
    <t>_Impresión de desplegables con información del Archivo Nacional y de las exposiciones itinerantes. Prog. 1 ¢ 150,000,00</t>
  </si>
  <si>
    <t>Departamento Servicios Archivísticos Externos</t>
  </si>
  <si>
    <t>Servicio de impresión estilo leasing para el Departamento Servicios Archivísticos Externos, cuya gestión de contratación se está realizó en el 2019 ¢3.000.000</t>
  </si>
  <si>
    <t>Departamento Administrativo Financiero</t>
  </si>
  <si>
    <r>
      <rPr>
        <b/>
        <sz val="10"/>
        <rFont val="Arial"/>
        <family val="2"/>
      </rPr>
      <t>Financiero Contable:</t>
    </r>
    <r>
      <rPr>
        <sz val="10"/>
        <rFont val="Arial"/>
      </rPr>
      <t xml:space="preserve"> Pago de comisiones bancarias por cobro de bienes y servicios con tarjetas de crédito y de débito.
Pago de comisiones a los bancos: Central de Costa Rica y de Costa Rica, por venta de Timbre de Archivo Nacional.
Gasto por descuentos en venta de timbre de Archivo Nacional (6%) 
</t>
    </r>
  </si>
  <si>
    <t>Departamento de Archivo Histórico</t>
  </si>
  <si>
    <t>Servicio de digitalización de documentos en soporte analógico.¢4.000.000</t>
  </si>
  <si>
    <t>Digitalización de 5000 tomos de protocolos notariales depositados, así como 6000 actualizaciones y cancelados por los notarios: ¢121.906.820
Administración del sistema INDEX: ¢188.584.608.67</t>
  </si>
  <si>
    <t>Servicio del software de expediente médico digital, con un costo aproximado de 105 dólares al mes</t>
  </si>
  <si>
    <t>Departamento de Tecnologías de Información</t>
  </si>
  <si>
    <t xml:space="preserve">Se requiere para el pago mensual de los servicios de correo electrónico institucional, y plataforma de trabajo colaborativo basadas en Sharepoint y herramientas de Office 365 ¢2,215,000 y un enlace PtoP para uso de almacenamiento  en la nube Microsoft ¢7,600,000.
Se incluye la suma de ¢51,750,000 millones para garantizar la continuidad del proyecto ADN para el Archivo Nacional. 
</t>
  </si>
  <si>
    <t>Reforzar los servicios jurídicos para atención de procedimientos administrativos.  ¢1,000.000,00 Prog. 3</t>
  </si>
  <si>
    <t xml:space="preserve">Para la contratación de  una auditoría en Estados Financieros del año 2019 y una forense  para cumplir con lo que solicita el Ministerio de Cultura y Juventud según Circular DVMA-011-2016. (¢5.000.000.00) Recursos Humanos: Contratación de un estudio de Clima Organizacional ¢1,450.000.00
</t>
  </si>
  <si>
    <t xml:space="preserve"> Servicios Generales: .Pago del servicio de limpieza,  del edificio ¢77,18 millones, vigilancia ¢57.74 millones y mensajería ¢5.08 millones. Incluye reajustes de precios para el año 2020 y el IVA respectivo. 
</t>
  </si>
  <si>
    <t>Departamento de Conservación</t>
  </si>
  <si>
    <t>Contratar la impresión en láminas de PVC de 26 paneles de la exposición itinerante "Paz en Costa Rica, entre la realidad y el mito", de 0.76 X 0.100 metros cada uno, con el fin de asegurar su conservación a largo plazo. Cada lámina cuesta ¢25.000.00.</t>
  </si>
  <si>
    <t>Proyección Institucional: Museografía exposición documental. ¢1.500.000,00 Prog. 1
_Contratación de un traductor para revisar y actualizar los resúmenes en inglés de la Revista del Archivo Nacional 2019. Monto sugerido: ¢ 200.000,00. Prog. 1
_Previsión para el financiamiento de los proyectos ADAI, con un monto estimado de 8.000.000,00 (aprox. 14.270 Euros) Prog. 2.
Total Prog. 2: ¢ 8.000.000,00
_Comisión Salud Ocupacional: Contratación de servicios profesionales en Salud Ocupacional.  ¢ 1.500.000,00 Prog. 3
_Servicio de enmarcado de afiches. ¢100.000,00. Prog 3
Total Prog. 3: ¢ 1.600.000,00
Total: ¢ 11.300.000,00</t>
  </si>
  <si>
    <t>Contratación de servicios de conciliaciones y revisión de facturas contrato de presentación de índices por internet. Aproximadamente 8 meses ¢4,000,000,00</t>
  </si>
  <si>
    <t>_Costo de tiquete aéreo para asistir a actividades programadas por la Red Sinergia ALA. Monto ¢750.000.00. Prog. 1
Total Prog. 1: ¢750.000.00.
_Costo del tiquete aéreo para asistir a la reunión anual del Comité Intergubernamental del Programa ADAI  ¢625.000,00. Prog. 2
_Costo del tiquete aéreo para asistir a evento convocado por la ALA o CIA ¢625.000,00. Prog. 2
Total Prog. 2: ¢1.250.000
Total:  ¢2.000.000,00</t>
  </si>
  <si>
    <t>_Pago de viáticos para asistir a actividades programadas por la Red Sinergia ALA.  ¢425.000.00. Prog. 1
Total Prog. 1: ¢425.000.00
_Pago de viáticos para asistir a la reunión del Comité Intergubernamental del Programa ADAI  ¢800.000,00. Prog. 2
_Pago de viáticos para asistir a evento convocado por la ALA ¢775,.000,00. Prog. 2
Total Programa 2:  ¢1.575.000,00
Total:  ¢2.000,000,00</t>
  </si>
  <si>
    <t>Pago de seguros de edificio, equipos y vehículos del Archivo Nacional</t>
  </si>
  <si>
    <t xml:space="preserve">XXXII Congreso Archivístico Nacional: Un  tiquete aéreo ($1.400)* ¢900,000,00; viáticos de conferencistas internacionales ($450) ¢300.000,00; Hospedaje conferencistas internacionales ($450) ¢300,000,00; Catering y otros servicios ¢10.000.000,00, carpetas ¢800.000,00; obsequios a expositores ¢150.000,00; papelería y bolígrafos ¢250.000,00; imprevistos ₡300.000,00 (5%)
Total: ¢13.000.000,00.  Prog. 2  </t>
  </si>
  <si>
    <r>
      <rPr>
        <b/>
        <sz val="10"/>
        <rFont val="Arial"/>
        <family val="2"/>
      </rPr>
      <t>Recursos Humanos</t>
    </r>
    <r>
      <rPr>
        <sz val="10"/>
        <rFont val="Arial"/>
      </rPr>
      <t xml:space="preserve"> :  Curso Clasificación, ordenación y descripción ¢220.000 (cupo 15, duración 1 día y medio: 3 refrigerios y almuerzo). Curso Norma Nacional de Descripción ¢220.000 (cupo 15, duración 12 horas; 2 refrigerios, 1 almuerzo) Dos cursos de Adm. Archivos Gestión ¢450.000.00 (cupo 15 cada uno, duración 5 días, 5 refrigerios) Curso Expedientes Administrativos ¢220.000.00 (cupo 15, 3 refrigerios y almuerzo). Taller Tablas de Plazos ¢ 175.000.00 (cupo 25, 2 refrigerios, duración 2 días) Administración Archivos Centrales ¢600.000 (cupo 10, duración 20 días, 20 refrigerios) Charla Notarial ¢115.000.00, cupo 50, 1 refrigerio) Total ¢2.000.000.00   </t>
    </r>
  </si>
  <si>
    <t xml:space="preserve">_Celebración del mes de la patria: ¢400.000,00 Prog. 1 
_Celebración del Día Internacional de los Archivos: ¢700,000,00 Prog. 1 
_Presentación de las publicaciones del Archivo Nacional: ¢200.000,00 Prog. 1 
_Inauguración exposición documental: ¢300.000,00  Prog. 1
_Conmemoración del Día Mundial del Patrimonio Audiovisual (27 de octubre): ¢150.000,00 Prog. 1 
_Otras actividades protocolarias y sociales relacionadas con donaciones de documentos, conferencias de prensa, mesas redondas: ¢350.000,00 Prog. 1
Total Prog. 1: ¢2,000.000,00
</t>
  </si>
  <si>
    <r>
      <t>Reparación y pintura de paredes de los depósitos de Archivo Intermedio, así como pintura y tratamiento de los techos de los depósitos 3 y 4   ¢17,00,000,00  
Sustitución de manto asfáltico o impermeabilización de la loza del techo de la I Etapa ¢25,000,000,00 
Se requiere sustituir la verja que va desde el portón principal hasta donde inicia el parqueo de vehículos en la rampa debido a que la actual maya se encuentra sumamente dañada ¢10.010.268</t>
    </r>
    <r>
      <rPr>
        <b/>
        <sz val="10"/>
        <rFont val="Arial"/>
        <family val="2"/>
      </rPr>
      <t xml:space="preserve"> (COD BPIP 002410 Obras y equipamientos menores para operación del Archivo Nacional)</t>
    </r>
  </si>
  <si>
    <r>
      <t xml:space="preserve">Pago del servicio de recarga de extintores de incendio de toda la institución, incluyendo el procedimiento de descarga, las pruebas hidrostáticas de funcionamiento y la charla básica de operación de las unidades para todos los funcionarios del Archivo Nacional.  </t>
    </r>
    <r>
      <rPr>
        <b/>
        <sz val="10"/>
        <rFont val="Arial"/>
        <family val="2"/>
      </rPr>
      <t>(COD BPIP 002410 Obras y equipamientos menores para operación del Archivo Nacional)</t>
    </r>
  </si>
  <si>
    <r>
      <t xml:space="preserve">Mantenimiento de montacargas ubicado en la tercera etapa: ¢500.000 </t>
    </r>
    <r>
      <rPr>
        <b/>
        <sz val="10"/>
        <rFont val="Arial"/>
        <family val="2"/>
      </rPr>
      <t xml:space="preserve"> (COD BPIP 002410 Obras y equipamientos menores para operación del Archivo Nacional)</t>
    </r>
  </si>
  <si>
    <r>
      <t xml:space="preserve">Servicios Generales: Provisión para mantenimiento preventivo y correctivo de planta de respaldo eléctrico,  ¢1,000.000.  Mantenimiento del sistema de bombeo de agua potable ¢2,500.000.    Mantenimiento de la bomba contra incendios ¢1,650.000.   Mantenimiento de equipo de jardinería ¢100.000.  Mantenimiento de elevador del núcleo central ¢1,000,000. Mantenimiento del sistema de detección de humo ₡500.000 Total ₡8,250,000 </t>
    </r>
    <r>
      <rPr>
        <b/>
        <sz val="10"/>
        <rFont val="Arial"/>
        <family val="2"/>
      </rPr>
      <t xml:space="preserve"> (COD BPIP 002410 Obras y equipamientos menores para operación del Archivo Nacional)</t>
    </r>
  </si>
  <si>
    <t>1.08.05</t>
  </si>
  <si>
    <r>
      <t xml:space="preserve">Mantenimiento y reparación de los equipos móviles de la institución ¢500.000.00  </t>
    </r>
    <r>
      <rPr>
        <b/>
        <sz val="10"/>
        <rFont val="Arial"/>
        <family val="2"/>
      </rPr>
      <t>(COD BPIP 002410 Obras y equipamientos menores para operación del Archivo Nacional)</t>
    </r>
  </si>
  <si>
    <r>
      <t xml:space="preserve">Mantenimiento a un proyector y a un fax: ¢200.000 </t>
    </r>
    <r>
      <rPr>
        <b/>
        <sz val="10"/>
        <rFont val="Arial"/>
        <family val="2"/>
      </rPr>
      <t xml:space="preserve"> (COD BPIP 002410 Obras y equipamientos menores para operación del Archivo Nacional)
</t>
    </r>
  </si>
  <si>
    <r>
      <t xml:space="preserve">Mantenimiento y reparación de la central telefónica ¢1.500.000 (contrato de mantenimiento).  </t>
    </r>
    <r>
      <rPr>
        <b/>
        <sz val="10"/>
        <rFont val="Arial"/>
        <family val="2"/>
      </rPr>
      <t xml:space="preserve"> (COD BPIP 002410 Obras y equipamientos menores para operación del Archivo Nacional)</t>
    </r>
  </si>
  <si>
    <r>
      <t xml:space="preserve">Mantenimiento y reparación del equipo y mobiliario de oficina en general, (fotocopiadoras, máquinas de escribir, escritorios, sillas) ¢300.000.00 Prog. 3  </t>
    </r>
    <r>
      <rPr>
        <b/>
        <sz val="10"/>
        <rFont val="Arial"/>
        <family val="2"/>
      </rPr>
      <t>(COD BPIP 002410 Obras y equipamientos menores para operación del Archivo Nacional)</t>
    </r>
  </si>
  <si>
    <r>
      <t xml:space="preserve">
Mantenimiento de 2 fotocopiadoras: ¢250.000 </t>
    </r>
    <r>
      <rPr>
        <b/>
        <sz val="10"/>
        <rFont val="Arial"/>
        <family val="2"/>
      </rPr>
      <t>(COD BPIP 002410 Obras y equipamientos menores para operación del Archivo Nacional)</t>
    </r>
  </si>
  <si>
    <r>
      <t xml:space="preserve">Departamento en general: Mantenimiento preventivo y correctivo de equipo de fotocopiado y fax. ¢250,000,00.   Servicios Generales Mantenimiento del sistema de aires acondicionados  de la institución y  extractores ¢7,500,000,00), reparaciones que se requieran.  Los filtros de los inyectores de aire de Archivo Notarial ¢1,500,000,00.  Total ₡9.250.000. </t>
    </r>
    <r>
      <rPr>
        <b/>
        <sz val="10"/>
        <rFont val="Arial"/>
        <family val="2"/>
      </rPr>
      <t xml:space="preserve"> (COD BPIP 002410 Obras y equipamientos menores para operación del Archivo Nacional)</t>
    </r>
  </si>
  <si>
    <r>
      <t xml:space="preserve">Pago del servicio de mantenimiento preventivo del funcionamiento de la fotocopiadora marca Sharp AR-5220.  </t>
    </r>
    <r>
      <rPr>
        <b/>
        <sz val="10"/>
        <rFont val="Arial"/>
        <family val="2"/>
      </rPr>
      <t>(COD BPIP 002410 Obras y equipamientos menores para operación del Archivo Nacional)</t>
    </r>
  </si>
  <si>
    <r>
      <t xml:space="preserve">Mantenimiento preventivo y correctivo de las impresoras de la Dirección General y Junta Administrativa. ¢400.000.00 Prog.  </t>
    </r>
    <r>
      <rPr>
        <b/>
        <sz val="10"/>
        <rFont val="Arial"/>
        <family val="2"/>
      </rPr>
      <t xml:space="preserve"> (COD BPIP 002410 Obras y equipamientos menores para operación del Archivo Nacional)</t>
    </r>
  </si>
  <si>
    <r>
      <t xml:space="preserve">Servicio de mantenimiento preventivo, correctivo y repuestos para impresoras láser y multifuncional: 
_ 1 Multifuncional Konica Milnolta
_ 2 Impresoras HP
 </t>
    </r>
    <r>
      <rPr>
        <b/>
        <sz val="10"/>
        <rFont val="Arial"/>
        <family val="2"/>
      </rPr>
      <t>(COD BPIP 002410 Obras y equipamientos menores para operación del Archivo Nacional)</t>
    </r>
  </si>
  <si>
    <r>
      <t xml:space="preserve">Mantenimiento de 3 impresoras láser: ¢50.000 c/u
TOTAL: ¢150.000  </t>
    </r>
    <r>
      <rPr>
        <b/>
        <sz val="10"/>
        <rFont val="Arial"/>
        <family val="2"/>
      </rPr>
      <t>(COD BPIP 002410 Obras y equipamientos menores para operación del Archivo Nacional)</t>
    </r>
  </si>
  <si>
    <r>
      <t xml:space="preserve">Pago del servicio de mantenimiento preventivo del funcionamiento de la impresora láser marca Xerox Workcentre 3225, así como de los escáneres marca Xerox, Fujitsu y Aplicon que se utilizan en el programa de digitalización de documentos históricos. </t>
    </r>
    <r>
      <rPr>
        <b/>
        <sz val="10"/>
        <rFont val="Arial"/>
        <family val="2"/>
      </rPr>
      <t xml:space="preserve"> (COD BPIP 002410 Obras y equipamientos menores para operación del Archivo Nacional)</t>
    </r>
  </si>
  <si>
    <r>
      <t xml:space="preserve">Servicio de 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 ¢5.100.000
Mantenimiento y soporte para el nuevo sistema de información Notarial SAN del DAN ¢3,250,000  para implementar servicios en línea.  </t>
    </r>
    <r>
      <rPr>
        <b/>
        <sz val="10"/>
        <rFont val="Arial"/>
        <family val="2"/>
      </rPr>
      <t>(COD BPIP 002410 Obras y equipamientos menores para operación del Archivo Nacional)</t>
    </r>
  </si>
  <si>
    <r>
      <t xml:space="preserve">Unidad Médica:  Para el mantenimiento preventivo de la balanza médica , así como de los esfigmomanómetros de la institución ¢75,000,00 Recursos Humanos: Mantenimiento de reloj marcador ¢75.000 TOTAL ¢150,000,00 </t>
    </r>
    <r>
      <rPr>
        <b/>
        <sz val="10"/>
        <rFont val="Arial"/>
        <family val="2"/>
      </rPr>
      <t xml:space="preserve"> (COD BPIP 002410 Obras y equipamientos menores para operación del Archivo Nacional)</t>
    </r>
  </si>
  <si>
    <r>
      <t xml:space="preserve">Pago del servicio de mantenimiento preventivo de las guillotinas manuales y electrónicas, así como de las prensas manuales y las cámaras fotográficas. </t>
    </r>
    <r>
      <rPr>
        <b/>
        <sz val="10"/>
        <rFont val="Arial"/>
        <family val="2"/>
      </rPr>
      <t>(COD BPIP 002410 Obras y equipamientos menores para operación del Archivo Nacional)</t>
    </r>
  </si>
  <si>
    <t>Pagos de derechos de circulación de los equipos móviles ¢50,000,00</t>
  </si>
  <si>
    <t>18 toner para las impresoras de venta de imágenes: 12 para Kyocera: ¢600.000 y 6 para la impresora LexMark: ¢548.000
Tinta para sellos: ¢20.000
TOTAL: ¢1.168.000</t>
  </si>
  <si>
    <r>
      <t xml:space="preserve">Servicios Generales </t>
    </r>
    <r>
      <rPr>
        <b/>
        <sz val="10"/>
        <rFont val="Arial"/>
        <family val="2"/>
      </rPr>
      <t>:</t>
    </r>
    <r>
      <rPr>
        <sz val="10"/>
        <rFont val="Arial"/>
      </rPr>
      <t xml:space="preserve"> Adquisición de pinturas y otros productos complementarios para trabajos de mantenimiento del edificio Total ¢300.000.</t>
    </r>
  </si>
  <si>
    <t>Servicios Generales Compra de luminarias ahorrativas de acuerdo al Plan de Eficiencia Energética, para continuar con el proceso de  sustitución de las luminarias de los edificios de la I y II etapa por lámparas que reduzcan el consumo eléctrico ¢2,000.000.                  Adquisición de cables eléctricos y telefónicos, tomacorrientes, uniones, breakers, y otros materiales requeridos en el mantenimiento del sistema eléctrico y telefónico de la institución. ¢500.000. Total ₡2,500,000</t>
  </si>
  <si>
    <r>
      <t>Servicios Generales</t>
    </r>
    <r>
      <rPr>
        <b/>
        <sz val="10"/>
        <rFont val="Arial"/>
        <family val="2"/>
      </rPr>
      <t>:</t>
    </r>
    <r>
      <rPr>
        <sz val="10"/>
        <rFont val="Arial"/>
      </rPr>
      <t xml:space="preserve"> Adquisición de vidrios para reponer algún vidrio quebrado en la institución ¢500.000.</t>
    </r>
  </si>
  <si>
    <t xml:space="preserve">Servicios Generales: Adquisición de servicios sanitarios, fluxómetros y otros materiales necesarios en el mantenimiento preventivo, correctivo y reducir el desperdicio de agua, así como los cartuchos de repuesto de los mingitorios secos.  ₡1,500,000.     </t>
  </si>
  <si>
    <t>Compra de 3 escalerillas: ¢60.000</t>
  </si>
  <si>
    <t xml:space="preserve">Servicios Generales: Taladros inalámbricos con sus respectivos accesorios. ¢300.000,00 </t>
  </si>
  <si>
    <t>Compra de antenas y baterías para radio comunicadores ¢250,000</t>
  </si>
  <si>
    <t>Servicios Generales Adquisición de baterías, repuestos varios para equipos móviles y fijos ¢250,000</t>
  </si>
  <si>
    <t>_Biblioteca: Dos Etiqueta letratag. Unidad Dymo. Modelo 45803 Black/White. Costo unitario: ¢15.000.  Total ¢30.000
 Prog. 1
Total Prog. 1: ¢ 30.000,00
_Engrapadora eléctrica KW5991, costo aproximado ¢30.000,00 Prog. 3
Total: ¢60.000,00</t>
  </si>
  <si>
    <t>Álbum Print File ARC-S para hojas de archivo serie S; Fundas Print File para archivo de dos fotos de 8x10”, de 25 hojas; Fundas Print File para archivo de seis fotos de 4x6”, de 25 hojas; Fundas Print File para archivo de siete tiras de cinco cuadros de película de 35 mm, de 100 hojas. Lápices de grafito, mina color negro, en caja de 12 unidades; Lápices de dibujo 6B; Lapiceros en caja de 12 unidades; Grapas 26/6 pulgadas, caja de 5000 unidades; Marcadores permanentes punta fina OPH-CD 421-F para fotografías; Plumas blancas para rotular contactos; Clips de colores, caja de 100 unidades; Cajas de CD o DVD para las órdenes digitales; Correctores de lapicero; Goma líquida blanca; Almohadillas para sellos; Ligas de hule N°32; Plástico adhesivo; Goma en barra Pritt de 42 gramos; Pegamento base agua para encuadernación 525; Sellos</t>
  </si>
  <si>
    <t>Material necesario para la venta de servicios (digitalización de protocolos, constancias, reproducciones, venta de imágenes digitalizadas y microfilmadas impresas, facilitación de tomos y depósito de tomos): 18 cintas para impresora EPSON M188 18.000 colones; 20 cajas de clips plásticos 7500 colones; 20 almohadillas para sellos 90.000 colones; 20 humedecedores de dedos 12.000 colones; 25 cajas de grapas 37,000 colones; 20 cajas de marcadores o pilots 19.000 colones; 3 sellos fechadores 30.000 colones; 10 perforadoras de papel 26.000 colones; 10 cajas de notas adhesivas 15.000 colones; 3 cajas de lápices 10.000 colones. Total ¢224.000</t>
  </si>
  <si>
    <t>Pago de la compra de 35 galones de pegamento cola blanca para los procesos de encuadernación de documentos y confección de contenedores de conservación.</t>
  </si>
  <si>
    <t>_Comision Auxiliar de Emergencias:  compra de mascarillas para RCP para todos los brigadistas. ¢100.000,00 Programa 3</t>
  </si>
  <si>
    <t>15 resmas de papel carta  33.000 colones; 65 resmas de papel oficio 195.000 colones (para constancias, reproducciones y copias). 25 archivadores de cartón para archivo de solicitudes de constancias, recibos de cancelación de impresiones, copias de recibos de tomos de protocolo 40.000 colones. 20 rollos de papel térmico para la etiquetera del control de filas 80.000 colones. 100 talonarios de recibos de depósito de tomos 250.000 colones. 15 talonarios de irregularidades en tomos 30.000 colones. 8 talonarios de control de entrega de recibos de tomos de protocolo 8.000 colones.  2000 fichas descriptivas de tomos de protocolo 40.000 colones. 500 formularios de cadena de trámite 3.000 colones. 20 talonarios de recibos de restauraciones 20.000 colones. 10 cajas de folders 26.000 colones. 4700 recibos provisionales de tomos de protocolo 117.000 colones. 90 rollos de papel para boletas testigo 36.000 colones; 7500 boletas testigo de uso interno 150.000 colones; 1500 solicitudes de constancias 30.000 colones; 3000 recibos para constancias 60.000 colones; 2000 solicitudes de copias certificadas y certificaciones 40.000 colones; 2000 recibos para fotocopias certificadas 60.000 colones; 1.000 solicitudes de ulteriores testimonios 20.000 colones; 1.000 recibos de ulteriores testimonios 30.000 colones; 10 talonarios de boletas de tasa y cancelación de recibos 50.000 colones. Total ¢1.000.000</t>
  </si>
  <si>
    <t>Pago de la compra de 40 resmas de papel ledger de 250 pliegos cada una y 20 de cartón N° 80, para las encuadernaciones de documentos históricos y confección de contenedores de conservación, así como 12 rollos de cinta para empalme de reventaduras de película de flimes de 16 mm y 35 rollos para película de 35 mm.</t>
  </si>
  <si>
    <t>Pago de compra de 200 metros de tela army color verde olivo para la encuadernación de tomos de protocolo notarial.</t>
  </si>
  <si>
    <t>5.01.01</t>
  </si>
  <si>
    <r>
      <t xml:space="preserve">Un rebobinador de película hecho a base de hierro fundido marca Neumade de 16 mm, modelo RW-1 (2000 pies o 2 3/8 de pulgada), necesario para la limpieza de los filmes de la colección del Archivo Nacional y poder de esa forma asegurar su limpieza y restauración.  </t>
    </r>
    <r>
      <rPr>
        <b/>
        <sz val="10"/>
        <rFont val="Arial"/>
        <family val="2"/>
      </rPr>
      <t>(COD BPIP 002410 Obras y equipamientos menores para operación del Archivo Nacional)</t>
    </r>
  </si>
  <si>
    <r>
      <t xml:space="preserve">Compra de carretillas convertible para el acarreo de documentos.  </t>
    </r>
    <r>
      <rPr>
        <b/>
        <sz val="10"/>
        <rFont val="Arial"/>
        <family val="2"/>
      </rPr>
      <t>(COD BPIP 002410 Obras y equipamientos menores para operación del Archivo Nacional)</t>
    </r>
  </si>
  <si>
    <r>
      <t xml:space="preserve">Compra de 3 carretillas (perras) para acarreo de documentos para el depósito de la etapa 4 (¢116.200 c/u), total ¢348,600  </t>
    </r>
    <r>
      <rPr>
        <b/>
        <sz val="10"/>
        <rFont val="Arial"/>
        <family val="2"/>
      </rPr>
      <t>(COD BPIP 002410 Obras y equipamientos menores para operación del Archivo Nacional)</t>
    </r>
  </si>
  <si>
    <r>
      <t xml:space="preserve">Asesoría Jurídica: Equipo de audio y grabación.
(incluye 4 micrófonos con sus pedestales, cables y un mezclador de sonido -interface-, para utilizarlo en las comparecencias orales y privadas, con el fin de trasladar la grabación a un CD que forme parte del expediente y no sea necesaria la transcripción en papel del acta. ¢300.000,00 Programa 3
_Comision Auxiliar de Emergencias: radio comunicadores para los miembros de la comisión para sustituir los análogicos, producto de donaciones de segunda y tercera mano, los cuales superaron su vida útil. ¢500.000,00 Programa 3 </t>
    </r>
    <r>
      <rPr>
        <b/>
        <sz val="10"/>
        <rFont val="Arial"/>
        <family val="2"/>
      </rPr>
      <t xml:space="preserve"> (COD BPIP 002410 Obras y equipamientos menores para operación del Archivo Nacional)</t>
    </r>
  </si>
  <si>
    <r>
      <t xml:space="preserve">Compra de radio comunicadores para uso en la Sala de Consulta </t>
    </r>
    <r>
      <rPr>
        <b/>
        <sz val="10"/>
        <rFont val="Arial"/>
        <family val="2"/>
      </rPr>
      <t xml:space="preserve"> (COD BPIP 002410 Obras y equipamientos menores para operación del Archivo Nacional)</t>
    </r>
  </si>
  <si>
    <r>
      <t xml:space="preserve">Compra de radios intercomunicadores ¢500.000 </t>
    </r>
    <r>
      <rPr>
        <b/>
        <sz val="10"/>
        <rFont val="Arial"/>
        <family val="2"/>
      </rPr>
      <t xml:space="preserve"> (COD BPIP 002410 Obras y equipamientos menores para operación del Archivo Nacional)</t>
    </r>
  </si>
  <si>
    <r>
      <t xml:space="preserve">Servicios generales: 2 teléfonos para sustituir los que estén fallando  </t>
    </r>
    <r>
      <rPr>
        <b/>
        <sz val="10"/>
        <rFont val="Arial"/>
        <family val="2"/>
      </rPr>
      <t xml:space="preserve">(COD BPIP 002410 Obras y equipamientos menores para operación del Archivo Nacional) </t>
    </r>
  </si>
  <si>
    <r>
      <t xml:space="preserve">Asesoría Jurídica: Escritorio metálico. ¢200.000,00 Prog. 3
Total Prog. 3: ¢200.000,00 </t>
    </r>
    <r>
      <rPr>
        <b/>
        <sz val="10"/>
        <rFont val="Arial"/>
        <family val="2"/>
      </rPr>
      <t xml:space="preserve"> (COD BPIP 002410 Obras y equipamientos menores para operación del Archivo Nacional)</t>
    </r>
  </si>
  <si>
    <r>
      <t xml:space="preserve">Compra de estantería para planos ¢17.000.000  </t>
    </r>
    <r>
      <rPr>
        <b/>
        <sz val="10"/>
        <rFont val="Arial"/>
        <family val="2"/>
      </rPr>
      <t>(COD BPIP 002410 Obras y equipamientos menores para operación del Archivo Nacional)</t>
    </r>
  </si>
  <si>
    <r>
      <t xml:space="preserve">Pago de compra de 2 sillas ergonómicas, una para el Área de Encuadernación y otra para el Área de Restauración y con el fin de sustituir dos que son muy viejas, están dañadas y no tienen reparación.  </t>
    </r>
    <r>
      <rPr>
        <b/>
        <sz val="10"/>
        <rFont val="Arial"/>
        <family val="2"/>
      </rPr>
      <t>(COD BPIP 002410 Obras y equipamientos menores para operación del Archivo Nacional)</t>
    </r>
  </si>
  <si>
    <r>
      <t xml:space="preserve">Para compra de estanterìa  compacta para cinco depósitos de  documentos de la IV etapa del edificio. ¢267,721,800 </t>
    </r>
    <r>
      <rPr>
        <b/>
        <sz val="10"/>
        <rFont val="Arial"/>
        <family val="2"/>
      </rPr>
      <t>(COD BPIP 001981 Construcción y equipamiento de un edificio del Archivo Nacional)</t>
    </r>
    <r>
      <rPr>
        <sz val="10"/>
        <rFont val="Arial"/>
      </rPr>
      <t xml:space="preserve">
Compra de 10 sillas de espera para atención al público ¢300.000; y compra de 5 sillas ergonómicas para los funcionarios ¢300.000. Total: ¢600.000 </t>
    </r>
    <r>
      <rPr>
        <b/>
        <sz val="10"/>
        <rFont val="Arial"/>
        <family val="2"/>
      </rPr>
      <t xml:space="preserve"> (COD BPIP 002410 Obras y equipamientos menores para operación del Archivo Nacional)</t>
    </r>
    <r>
      <rPr>
        <sz val="10"/>
        <rFont val="Arial"/>
      </rPr>
      <t xml:space="preserve">
</t>
    </r>
  </si>
  <si>
    <r>
      <t xml:space="preserve">Proveeduría: Silla de respaldo alto para sustituir mobiliario de analista en contratación administrativa,¢100,000,00.   Sustitución de las 3 unidades de AC de los depósitos 4, 5, 6 de Archivo Histórico por Fan Coil que se conectarían al sistema previamente contratado de Chiller que ya tendría trabajando los depósitos 1, 2, 3 de la II Etapa. ¢17,000,000,00  </t>
    </r>
    <r>
      <rPr>
        <b/>
        <sz val="10"/>
        <rFont val="Arial"/>
        <family val="2"/>
      </rPr>
      <t>(COD BPIP 002410 Obras y equipamientos menores para operación del Archivo Nacional)</t>
    </r>
  </si>
  <si>
    <r>
      <t xml:space="preserve">5 Lectores de códigos de barras para recepción de índices ¢257.000. Una impresora de alto volumen ¢2.000.000 </t>
    </r>
    <r>
      <rPr>
        <b/>
        <sz val="10"/>
        <rFont val="Arial"/>
        <family val="2"/>
      </rPr>
      <t xml:space="preserve"> (COD BPIP 002410 Obras y equipamientos menores para operación del Archivo Nacional)</t>
    </r>
  </si>
  <si>
    <r>
      <t xml:space="preserve">Para la compra de los siguientes dispositivos de cómputo:
10 equipos de cómputo para renovar antiguos ¢6,000,000 
6 monitores 27" para atención al público DAN ¢400,000 
</t>
    </r>
    <r>
      <rPr>
        <b/>
        <sz val="10"/>
        <rFont val="Arial"/>
        <family val="2"/>
      </rPr>
      <t xml:space="preserve"> (COD BPIP 002410 Obras y equipamientos menores para operación del Archivo Nacional)</t>
    </r>
    <r>
      <rPr>
        <sz val="10"/>
        <rFont val="Arial"/>
      </rPr>
      <t xml:space="preserve">
</t>
    </r>
  </si>
  <si>
    <t>Auditoría Interna</t>
  </si>
  <si>
    <r>
      <t xml:space="preserve">Compra de tablet para documentar el trabajo que realiza la Auditoría en las visitas que se hacen a las diferentes instancias. ¢150.000,00  </t>
    </r>
    <r>
      <rPr>
        <b/>
        <sz val="10"/>
        <rFont val="Arial"/>
        <family val="2"/>
      </rPr>
      <t>(COD BPIP 002410 Obras y equipamientos menores para operación del Archivo Nacional)</t>
    </r>
  </si>
  <si>
    <r>
      <t xml:space="preserve">El equipo diagnóstico del consultorio médico hace 2 años superó su vida útil, se propone cambiarlo por un equipo diagnostico nuevo. De pared de mejor calidad y mas duradero, con más funciones, como la posibilidad de fondo de ojo. </t>
    </r>
    <r>
      <rPr>
        <i/>
        <sz val="10"/>
        <rFont val="Arial"/>
        <family val="2"/>
      </rPr>
      <t xml:space="preserve"> </t>
    </r>
    <r>
      <rPr>
        <b/>
        <sz val="10"/>
        <rFont val="Arial"/>
        <family val="2"/>
      </rPr>
      <t>(COD BPIP 002410 Obras y equipamientos menores para operación del Archivo Nacional)</t>
    </r>
  </si>
  <si>
    <r>
      <t xml:space="preserve">Ampliación de garantías anuales de plataforma tecnológica para su buen funcionamiento y continuidad: Switches, firmware, servidores físicos, herramienta de virtualización VMWare, administración y control de los servidores, equipo de almacenamiento  y su software de alto desempeño (HP P2000, HP 3PAR y WDSentinel), equipos seguridad perimetral de la red y acceso a Internet, equipos respaldos (Data Protector) y actualización y Soporte del software. ¢20.500.000
Licenciamiento anual y mantenimiento de antivirus  ¢1.500.000
2 Licenciamientos de usuario  Adobe Creative Cloud para Departamento de Conservación y Proyección Institucional. ¢1.000.000
Licenciamiento de usuario 2 Adobe Acrobat Pro para DAF ¢500.000
</t>
    </r>
    <r>
      <rPr>
        <b/>
        <sz val="10"/>
        <rFont val="Arial"/>
        <family val="2"/>
      </rPr>
      <t xml:space="preserve"> (COD BPIP 002410 Obras y equipamientos menores para operación del Archivo Nacional)</t>
    </r>
    <r>
      <rPr>
        <sz val="10"/>
        <rFont val="Arial"/>
      </rPr>
      <t xml:space="preserve">
</t>
    </r>
  </si>
  <si>
    <t>Premio de reconocimiento al ganador a la mejor investigación archivística 2019 (José Luis Coto Conde). ¢350.000 Prog. 2</t>
  </si>
  <si>
    <t>Pago de cuota $330 (Asociación Latinoamericana de Archivos) a tipo de cambio ¢680.00,  ¢224.400,00.  Prog. 2
Pago de cuota €780 (Consejo Internacional de Archivos) a tipo de cambio de  ₡800.00 el Euro  ¢624.000,00 Prog. 2
Total Prog. 2  ₡ 848.400,00</t>
  </si>
  <si>
    <t>JUSTIFICACIÓN DEL GASTO POR TRANSFERENCIA</t>
  </si>
  <si>
    <t>OBJETO DEL
GASTO TRANSFERENCIA</t>
  </si>
  <si>
    <t>Institucional</t>
  </si>
  <si>
    <t xml:space="preserve">Se presupuesta el pago de salarios para 124 funcionarios de acuerdo con los aumentos indicados en los "Lineamientos sobre Formulación del Presupuesto de la República" en donde se indica para el I semestre 2020 ¢3.750 y para el II semestre 2020 ¢3.750. </t>
  </si>
  <si>
    <t>Para el pago de suplencias por incapacidades, licencias, etc.</t>
  </si>
  <si>
    <t>Pago de tiempo extraordinario de agentes de seguridad, chofer y otros funcionarios que lo requieran.</t>
  </si>
  <si>
    <t>Tomando en cuenta la fecha de cumplimiento de Aumento Anual para cada funcionario se proyectó un incremento de una anualidad más para el 2020 con respecto a la cantidad de anualidades del año 2019.</t>
  </si>
  <si>
    <t>Pago de los rubros de Prohibición y Dedicación Exclusiva a los funcionarios que lo requieren.</t>
  </si>
  <si>
    <t>Salario Adicional o proporcional a pagar en el mes de diciembre de 2020, a los funcionarios de la institución.</t>
  </si>
  <si>
    <t>Pago de retribución salarial a pagar en el mes de enero 2020, a los funcionarios de la Institución.</t>
  </si>
  <si>
    <t>Para los profesionales con el incentivo de Carrera Profesional se proyectó un incremento de 4 puntos con respecto a la cantidad de puntos de carrera profesional al primer semestre 2019.</t>
  </si>
  <si>
    <t>Pago de cargas sociales para el seguro de los funcionarios de la Institución, corresponde al 9.25% del salario de los funcionarios.</t>
  </si>
  <si>
    <t>Monto destinado para girar al Banco Popular, que corresponde al 0.5% del salario de los trabajadores.</t>
  </si>
  <si>
    <t>Pago de cargas sociales para el aporte patronal a los fondos de pensiones, correspondiente al 5.25% del salario de los funcionarios.</t>
  </si>
  <si>
    <t>Monto destinado para el cumplimiento de lo establecido en la Ley de Protección al Trabajador N° 7983, correspondiente al 1.5% del salario de los funcionarios.</t>
  </si>
  <si>
    <t>Monto destinado para el cumplimiento de lo establecido en la Ley de Protección al Trabajador N° 7983, correspondiente al 3% del salario de los funcionarios.</t>
  </si>
  <si>
    <t>Aporte Patronal por incorporación de funcionarios del Archivo Nacional a la Asociación Solidarista del Ministerio de Cultura y Juventud.</t>
  </si>
  <si>
    <t>Pago de servicio de agua y alcantarillado para el año 2020, incluye incremento de tarifas y el IVA respectivo.</t>
  </si>
  <si>
    <t>Pago de  servicio de energía eléctrica para el año 2020, incluye incremento de tarifas y el IVA respectivo.</t>
  </si>
  <si>
    <t>Departamento Dirección General</t>
  </si>
  <si>
    <t xml:space="preserve">Dirección General:  Pagos de envío de documentos que producen las diferentes unidades de la Dirección General y Junta Administrativa y el IVA respectivo.
</t>
  </si>
  <si>
    <t>Pago de servicio de telecomunicaciones para el año 2020, incluye incremento de tarifas.¢1.500.000   Recursos Humanos: Para la comunicación de telegramas por RACSA para la atención de nóminas remitidas por Servicio Civil  ¢50.000,00. y el IVA respectivo.</t>
  </si>
  <si>
    <t>Se requiere para el pago mensual de los servicios de Internet vía fibra óptica a 70 Mbps ¢10,800,000 y secundario a 40 Mbps ¢5,000,000 y el IVA respectivo.</t>
  </si>
  <si>
    <t>Unidad Médica:  Recolección de desechos biopeligrosos de la Unidad ¢50,000. Financiero Contable: Pago de servicios municipales para el año 2019 ¢1,400.000 y el IVA respectivo.</t>
  </si>
  <si>
    <r>
      <t xml:space="preserve">Recursos requeridos para reforzar las publicaciones que se hacen por medio de la Imprenta Nacional. ¢450.00,00. Prog. 2 
</t>
    </r>
    <r>
      <rPr>
        <b/>
        <sz val="10"/>
        <rFont val="Arial"/>
        <family val="2"/>
      </rPr>
      <t>Dentro de esta subpartida se incluye la suma de ¢50 000.00, para pautar con el SINART, S.A. de acuerdo con el inciso C. artículo 19 de la Ley 8346. Prog. 2</t>
    </r>
  </si>
  <si>
    <r>
      <t xml:space="preserve">Publicación en el diario oficial La Gaceta de los siguientes documentos:
_Declaratorias generales de valor científico cultural para universidades, sector electricidad y sector hídrico, CAIS o Clínica de la CCSS, entre otras.
_Otros documentos que apruebe la Junta Administrativa del Archivo Nacional
El costo se presupuestó de acuerdo con las cotizaciones que se recibieron en el 2019 para la publicación de 2 normas técnicas que aprobó la Junta Administrativa del Archivo Nacional
</t>
    </r>
    <r>
      <rPr>
        <b/>
        <sz val="10"/>
        <rFont val="Arial"/>
        <family val="2"/>
      </rPr>
      <t>Dentro de esta subpartida se incluye la suma de ¢100 000.00, para pautar con el SINART, S.A. de acuerdo con el inciso C. artículo 19 de la Ley 8346. Prog. 2</t>
    </r>
  </si>
  <si>
    <r>
      <t xml:space="preserve">Recursos Humanos: Para la publicación de nombramientos en propiedad y otros documentos de Recursos Humanos, en el Diario Oficial La Gaceta.¢100.000 Proveeduría: para la publicación en La Gaceta de contrataciones de licitaciones. ¢62.000  TOTAL 162.000,00. 
</t>
    </r>
    <r>
      <rPr>
        <b/>
        <sz val="10"/>
        <rFont val="Arial"/>
        <family val="2"/>
      </rPr>
      <t>Dentro de esta subpartida se incluye la suma de ¢18 000.00, para pautar con el SINART, S.A. de acuerdo con el inciso C. artículo 19 de la Ley 8346. Prog. 2</t>
    </r>
  </si>
  <si>
    <t xml:space="preserve">_Catálogo de la exposición documental ¢900.000,00
_800 ejemplares de calendarios para el 2021 ¢500.000,00
_Comisión de Ética: 200 libretas con un mensajes de valores. ¢100,000.00. Prog. 3
Total Prog. 3: ¢100.000,00
</t>
  </si>
  <si>
    <t>Impresión de formularios de la Sala de Consulta y etiquetas para cajas de archivo:
_Trámite de fotocopias: 700 unidades 
_Cantidad de timbres para certificaciones: 200 unidades 
_ Reproducción de Rangos Cámara digital: 255 unidades 
_ Etiquetas para cajas de archivo: 1.000 unidades 
_ Boletas de préstamo: 500 unidades 
_ Reproducción de documentos: 760 unidades 
_ Solicitud de fotocopiado: 760 unidades</t>
  </si>
  <si>
    <t xml:space="preserve">Recursos Humanos: Para la impresión del arte de los carnets de identificación de funcionarios. </t>
  </si>
  <si>
    <t>Servicios de transferencia electrónica de información</t>
  </si>
  <si>
    <t>Biblioteca: Digitalización de 3.600 imágenes aproximadamente. (Imágenes de Cuadernillos, Memorias de Congresos Archivísticos, entre otros documentos):  $0,3281 precio de imagen. Total $1.181,16 tipo de cambio:  ¢680. Total:  ¢805.000,00 Prog. 1</t>
  </si>
  <si>
    <t xml:space="preserve">Adquisición de certificados de firma digital para los profesionales de la Unidad Archivo Intermedio  y la secretaria del DSAE
</t>
  </si>
  <si>
    <t>Se requiere para el pago mensual de los servicios de correo electrónico institucional, y plataforma de trabajo colaborativo basadas en Sharepoint y herramientas de Office 365 ¢4,095,000</t>
  </si>
  <si>
    <t>Contratación de un estudio de Clima Organizacional ¢1,050,000,00</t>
  </si>
  <si>
    <t>1.04.06</t>
  </si>
  <si>
    <t>Servicios Generales</t>
  </si>
  <si>
    <t xml:space="preserve"> Servicios Generales: .Pago del servicio de vigilancia ¢62,70 millones. Incluye reajustes de precios para el año 2020 y el IVA respectivo.
</t>
  </si>
  <si>
    <t>Pago de la revision técnica vehicular de las 2 unidades de la institución ¢50,000,00</t>
  </si>
  <si>
    <t>Contratar el servicio de fumigación de las instalaciones del Archivo Nacional, con el fin de mantenerlas libres de insectos, roedores y microorganismos, así como el de afilamiento de las cuchillas de las guillotinas manuales y eléctricas que se usan para refilar documentos y cortar  materiales de trabajo.</t>
  </si>
  <si>
    <t>Transporte para todos los funcionarios de la Dirección General en el cumplimiento de sus actividades como por ejemplo: asistencia a reuniones, servicios y mensajería en general, etc.  ¢100.000,00 Prog. 3</t>
  </si>
  <si>
    <t>Transporte para la realización de por lo menos 8 inspecciones a instituciones fuera del Área Metropolitana y que cuentan desde el 2018 con autorización del jerarca para realizar las visitas; según la nueva estrategia para la rectoría del Sistema Nacional de Archivos aprobada por la Junta Administrativa del Archivo Nacional en el año 2017.</t>
  </si>
  <si>
    <t>Para pago de pasajes y traslados de funcionarios del Departamento.</t>
  </si>
  <si>
    <t>Proyección Institucional: Metas del Plan Nacional de Desarrollo. Viáticos para giras de montaje de exposiciones itinerantes en cantones prioritarios. ¢250.000,00 Prog. 1</t>
  </si>
  <si>
    <t>Viáticos para la realización de por lo menos 8 inspecciones ainstituciones fuera del Área Metropolitana y que cuentan desde el 2018 con autorización del jerarca para realizar las visitas; según la nueva estrategia para la rectoría del Sistema Nacional de Archivos aprobada por la Junta Administrativa del Archivo Nacional en el año 2017.</t>
  </si>
  <si>
    <t>Pago de seguro de riesgos del trabajo de los funcionarios del Archivo Nacional.</t>
  </si>
  <si>
    <t>_Actividades de actualización profesional para el personal de la Dirección General: ¢235.000,00 Prog. 3
_Comisión de Teletrabajo y personal de la institución. ¢100.000,00, Prog. 3
_Comisión de Salud Ocupacional y personal de la institución. ¢100.000,00 Prog. 3
_Comisión Institucional de Accesibilidad y Discapacidad: personal, miembros de la Comisión  ¢100.000,00 Prog. 3
_Comisión de Ética: personal y miembros. ¢100.000,00 Prog 3.
_Comisión Auxiliar de Emergencias: Actividades de capacitación para miembros del Comité y Brigadas en: curso de RCP y primeros Auxilios Básicos.  ¢300.000.00 Prog. 3
_Comisión Institucional Para la no discriminación de la Población Sexualmente Diversa: Para miembros de la comisión y personal de la institución. ¢100.000,00, Prog. 3
Total Prog.3: ¢1,0350.000.00</t>
  </si>
  <si>
    <t>Actualización de conocimientos del personal</t>
  </si>
  <si>
    <t xml:space="preserve">Se requiere capacitación para coordinadores y demás personal, basada en administración de personal, cómputo, entre otras. </t>
  </si>
  <si>
    <t xml:space="preserve">Contratación de servicios de capacitación para el personal del departamento. </t>
  </si>
  <si>
    <t>Recursos Humanos: Capacitación en temáticas afines a Recursos Humanos  ¢100,000.00    Proveeduria Institucional: Capacitación requerida en contratación administrativa en fiscalización de contratos  ¢100,000,00    TOTAL¢200.000</t>
  </si>
  <si>
    <t>Para capacitación de la auditoría interna para así  mantener y perfeccionar sus capacidades y competencias profesionales mediante  la capacitación continua, de acuerdo a lo señalado en la Ley 8292 y directrices de la Contraloría General de la República sobre capacitación.  ¢400.000,00</t>
  </si>
  <si>
    <t xml:space="preserve">Compra de combustibles para vehículos,planta eléctrica, bomba del sistema contra incendios, máquinas cortadoras de césped y aceite para estos equipos. </t>
  </si>
  <si>
    <t>Comisión Auxiliar de  Emergencias: Para la compra de insumos necesarios en los botiquines de emergencias tanto medicamentos como productos de consumo ante una eventualidad. ₡350.000,00 Prog. 3</t>
  </si>
  <si>
    <t>Para la compra de medicamentos usados en la consulta médica, que son necesarios y están fuera del cuadro de medicina mixta, por ejemplo, decatileno, tiocolchicosido, neomicina, esterilix, alcohol, extracto de tilo, atrovent, entre otros.</t>
  </si>
  <si>
    <t>Pago de la compra de 10 galones de alcohol isopropílico para desinfectar documentos, realizar la limpieza de estanterías y contenedores y desinfectarse periódicamente las personas funcionarias para evitar el contagio con microorganismos.</t>
  </si>
  <si>
    <t>Para la compra de tóner para impresoras, fotocopiadoras y sellos.  ¢300.000.00, Prog. 3</t>
  </si>
  <si>
    <t xml:space="preserve">Tóner para impresoras y multifuncional
_ 2 Tóner HP LASERJET CE285A BLACK 
_ 2 Tóner HP-CE255A LASER JET 3015 # 55A 
_ 2 Tóner Konica Minolta </t>
  </si>
  <si>
    <t xml:space="preserve"> 5 Toner para impresora láser utilizada en el departamento para impresión de informes, cartas, reportes, denuncias y otros </t>
  </si>
  <si>
    <t>Compra de tonner y tintas para los equipos de oficina del departamento</t>
  </si>
  <si>
    <t>Pago de la compra de 24 cartuchos de tinta para impresora Epson Stylus T-22, así como de 1 galón de pintura acrílica para montaje de exposiciones documentales y 3 cilindros de tinta para impresora láser.</t>
  </si>
  <si>
    <t xml:space="preserve">Se requiere para la compra de tóner para la impresora del departamento </t>
  </si>
  <si>
    <t xml:space="preserve">Se requiere la compra de juegos de cartuchos de tinta de impresora para las impresiones de informes y documentos de la auditoría. </t>
  </si>
  <si>
    <t>Otros productos químicos</t>
  </si>
  <si>
    <t xml:space="preserve">Servicios Generales: Compra de productos para jardinería en la institución </t>
  </si>
  <si>
    <t xml:space="preserve">Pago de la compra de 2 kilos de carboximetilcelulosa y 5 bolsitas con talco inoloro para los procesos de restauración, 10 contenedores de insecticida y bactericida spray para fumigar en oficinas y áreas de trabajo cuando sea necesario y 8 paquetes con polvo cáustico para la encuadernación de documentos </t>
  </si>
  <si>
    <t>Para adquirir alimentos no perecederos para los servicios de alimentación que brinda la Dirección General en sus actividades archivísticas, culturales y recreativas (café, té, refrescos, azúcar, crema, entre otros). ₡200.000,00. Prog 3</t>
  </si>
  <si>
    <r>
      <rPr>
        <b/>
        <sz val="10"/>
        <rFont val="Arial"/>
        <family val="2"/>
      </rPr>
      <t>Recursos Humanos:</t>
    </r>
    <r>
      <rPr>
        <sz val="10"/>
        <rFont val="Arial"/>
      </rPr>
      <t xml:space="preserve"> Compra de crema, café y azúcar para la atención de usuarios externos .Total ¢50,000.00</t>
    </r>
  </si>
  <si>
    <t>Servicios Generales:  platinas   y angulares para reparaciones menores y mantenimiento de edificios, 3 cacheras de fregadero Total ¢350,000,00</t>
  </si>
  <si>
    <t>Servicios Generales Adquisición de sacos de cemento , concremix, pegamix y bondex para reparación aceras,  fragua,   materiales necesarios en el mantenimiento preventivo y correctivo de la institución. Total ¢100,000,00</t>
  </si>
  <si>
    <t>Para compra de madera necesaria para la instalación del pasito institucional y atender otras necesidades menores:  ¢50.000 Prog. 3</t>
  </si>
  <si>
    <t>Servicios Generales Adquisición de reglas de madera,   materiales necesarios en el mantenimiento preventivo y correctivo de la institución. Total ¢50,000,00</t>
  </si>
  <si>
    <t>Para compra de accesorios eléctricos, luces decorativas y extensiones para la decoración navideña y otras necesidades institucionales, entre ellas el montaje de la exposición documental. ¢400.000 Prog. 3</t>
  </si>
  <si>
    <t>Compra de repuestos de equipos cómputo y periféricos</t>
  </si>
  <si>
    <t>Servicios Generales Compra de accesorios de PVC para reparación de tuberías y accesorios para reparación de lavatorios y servicios sanitarios ¢125.000. Compra de maceteros plásticos para jardinería ¢50.000. Total ₡175,000</t>
  </si>
  <si>
    <t>Pago de la compra de 12 contenedores de plástico inerte para sustituir los metálicos donde se conservarán mejor los filmes de la colección del Archivo Nacional, correspondientes a 13 de 35 mm (2000 pies o 15 pulgadas) y 50 de 16mm (1200 pies 12¼ pulgadas), así como 1 rollo de plástico burbuja para embalar y proteger las exposiciones documentales itinerantes que se prestan a las comunidades del país.</t>
  </si>
  <si>
    <t xml:space="preserve">Pago de la compra de 6 pinceles para los trabajos de restauración y 24 brocas de taladro para los trabajos de encuadernación. </t>
  </si>
  <si>
    <t xml:space="preserve">Repuestos en general para los equipos y electrodomésticos con que cuentan las unidades de la Dirección General y la Junta Administrativa (unidades de tambor de imagen para impresoras, unidades de fusión para fotocopiadoras, entre otros). ¢300.000 Prog 3
</t>
  </si>
  <si>
    <t xml:space="preserve">Se presupuesta dinero para la compra de repuestos necesarios para la impresora laser y la fotocopiadora </t>
  </si>
  <si>
    <t>Compra de repuestos para impresoras y fotocopiadora del departamento ¢300,000,00</t>
  </si>
  <si>
    <t>Para el pago de la compra de los repuestos y accesorios siguientes: 1 carrete dividido nuevo de aluminio para filmes de 16 mm (1200 pies o 12 pulgadas), 1 carrete dividido nuevo de aluminio para filmes de 35 mm (1200 pies o 12 pulgadas) y los que se necesiten de urgencia para el funcionamiento de las guillotinas manuales y eléctricas, prensas manuales y eléctricas, escáneres, cámaras fotográficas, etc.</t>
  </si>
  <si>
    <t xml:space="preserve">Para la adquisición de materiales para la oficina: almohadillas para sellos, borradores de goma, cintas  y etiquetas adhesivas, cajas de clips de varios tamaños, correctores líquidos, cajas de prensas fastener, foliador automático, gomas líquidas, grapadoras metálicas, humedecedores de dedos, bolígrafos negros y azules, resaltadores, sacas grapas, separados metálicos de libros, plástico adhesivo (para la biblioteca), entre otros. </t>
  </si>
  <si>
    <t>10 cajas de lapiceros negros 
10 cajas de lapiceros azules 
25 cintas para empaque 
 cintas para reloj marcador 
10 paquetes de Post It . Borradores. 3 Perforadora industrial, grapadoras. 10 Tijeras. 6 Papeleras verticales sacagrapas  . Etiquetas para expedientes  , prensas plásticas para folder. Separadores metálicos  . Total ¢537.000</t>
  </si>
  <si>
    <t>Compra de útiles y materiales de oficina y cómputo varios  que se utilizan en el departamento como: marcadores, lapiceros, clip, goma, grapa, lápices, tijeras, borradores, discos compactos, post-it.
Se consideró la contratación 2017CD-000144-0009600001 para determinar el monto total de la subpartida</t>
  </si>
  <si>
    <t xml:space="preserve">Financiero Contable:2 cintas para impresora EPSON FX-890, 20 cintas impresoras para impresora de punto de venta, 10 cintas impresoras para sumadora   Recursos Humanos:  Servicio de Confección de  sellos.Para el departamento  50 cajas de lapiceros, 50 cajas de lápices, 10 borradores , 10 gomeros, 10 cintas de rollo transparente, 10 cajas de prensas plásticas para folder, 5 cintas impresas para sumadora ,5 correctores de papel líquido, 10 masking tape de 1.5 cm ancho, 20 marcadores de pizarra blanca (negro, azul y rojo), 25 cajas de clips de colores, 40 paquetes de post it, 10 cajas de etiquetas para expedientes,  6 humedecedores de dedos,  2 plantillas para mouse, 3 tijera, 2 engrapadoras metálicas ,20 cajas de grapas, 15 marcadores permanentes, 1 cajas de cds.
</t>
  </si>
  <si>
    <t>Pago de la compra de los siguientes materiales de oficina: 2 carruchas de cinta adhesiva transparente, 4 cajas con clips de colores con revestimiento de caucho, 24 bolígrafos color azul y 24 de color negro, 24 lápices de mina color negro, 6 contenedores de ¼ de galón de pegamento cemento amarillo y 6 carruchas de hilo nylon para montaje de exposiciones documentales.</t>
  </si>
  <si>
    <t>Compra de materiales de oficina como lápices, grapadoras, cinta adhesiva, marcadores permanetes, resaltadores de colores, papeleras, llave maya de 8GB, clips estándar y mariposa, bolígrafos, borradores. ¢75.000,00</t>
  </si>
  <si>
    <t>Comisión Auxiliar de Emergencias: Para la compra de utiles como transporo, microporo, mascarillas, gaza, collarines y demas material consumible en la atención de emergencias, abastecimiento de botiquines o bien por caducidad. ¢200.000,00 Prog. 3</t>
  </si>
  <si>
    <t>_ 3 Cajas con 100 pares de Guantes. Talla M (¢33.000)
_ 3 Cajas con 100 pares de Guantes. Talla L (¢18.000)
_ 2 Cajas con 100 respiradores desechables (¢32.000)</t>
  </si>
  <si>
    <t>Para la compra de los insumos que se consumen en la consulta externa, agujas, jeringas, algodón, espéculos, bajalenguas, aplicadores, mascarillas, venoclisis, sueros, guantes, batas, curitas, apósitos, entre otros.</t>
  </si>
  <si>
    <t>_Suscripción anual a los periódicos  La Nación y La República:  Total ¢290.000,00 Prog. 1
_Compra libros para Biblioteca: ¢200.000,00 Prog. 1
_Papeles y cartulinas finas para certificados, programas de mano, gafetes, afiches, entre otros.  ¢100.000,00 Prog. 1
Total Programa 1: ¢840.000,00
_Para la compra de todo tipo de materiales de papel para el departamento y junta: 1 caja de papel de seguridad, resmas de papel bond carta y oficio, papel continuo, pliegos de cartulina fina y de diferentes colores, papel térmico para fax, sobres manila varios tamaños, ampos archivadores, block de notas adhesivas, toallas de cocina, servilletas, carpetas colgantes, cuadernos, entre otros: ¢50.000 Prog. 3
_CIAD: ¢10.000 Compra de papel bristol para encuestas y folletos con los servicios del Archivo Nacional en braile. Prog. 3
Total Programa 3: ¢310,000,00</t>
  </si>
  <si>
    <t>Papel bond tamaño carta, 8.5" x 11", 20 libras, resmas de 500 unidades    
Papel bond tamaño oficio, 8.5" x 13", 20 libras, resmas de 500 unidades    
Papel carbón tamaño carta, caja de 100 unidades    
Sobres manila N°10 (tamaño carta)    
Sobres manila N°13 (tamaño oficio)    
Quita y pon amarillo 3" x 3"    
Quita y pon amarillo 1.5" x 2"    
Sobres blancos con el membrete del Archivo Nacional
Cartulina bristol de 180 gramos, 30.5 x 25 y 1/2 pulgadas, color blanco, resma de 100 pliegos    
Sobre manila N°15, 12x15, extra oficio    
Cinta Letratag papel, tamaño 1/2", color blanco, rendimiento 400 cms, línea de cinta, Dymo, compatible Letratag 91306/ 12/ 91344/ 46/ 48/ 11944/ 11946.    
Carpetas colgantes tamaño oficio    
Carpeta manila tamaño carta    
Carpeta manila tamaño oficio    
Cartulina bristol de colores surtidos, paquete de 50 unidades</t>
  </si>
  <si>
    <t>20 resmas de papel carta para informes, denuncias al Juzgado Notarial, estudios, cartas y otros 
20 resmas de papel oficio para estudios judiciales y denuncias 
20 archivadores de cartón para guardar notas de referencias o corrección de escrituras, notificaciones, procedimientos y otros
800 sobres membretados para el envío de documentos notariales
2 resmas de papel de seguridad para testimonios 
63 rollos de papel para impresión de boletas testigo de las áreas de atención y microfilm
12 paquetes de sobres manila tamaño oficio. 
6 paquetes de sobres manila tamaño carta .
  Folder de cartón para nuevos expedientes de índices</t>
  </si>
  <si>
    <t xml:space="preserve">Compra de productos de papel resmas, carpetas etc.
Se consideró  la contratación 2017CD-000144-0009600001 para determinar el monto total de la subpartida
</t>
  </si>
  <si>
    <t xml:space="preserve">Financiero Contable :Compra de seis cajas de rollos de papel para impresora de punto de venta utilizada en la Caja institucional para el cobro de venta de bienes y servicios. ¢200.000.00
10 cintas de papel para sumadora ¢12.000.00 1 caja de papel contínuo tamaño carta. Unidad médica:Para la compra de la papelería del Sistema de Medicina Mixta y Medicina de Empresa. ¢83,000,00                                   Servicios Generales: Compra de papel higiénico tamaño jumbo para dispensador de papel de todos los baños de la institución ¢800.000.00
Recursos Humanos: 15 paquetes de servilletas ¢15,000.00 2 Agendas ¢6,000.00, 8 Planificadores ¢12,000.00, Departamento en general 50 resmas de papel carta ¢100,000.00, 5 resmas papel oficio ¢15,000.00, 5 cajas carpetas colgantes tamaño oficio ¢30,000.
</t>
  </si>
  <si>
    <t>Pago de la compra de los siguientes materiales de conservación: 3 resmas de cartulina dúplex, 25 de cartulina bristol, 80 metros de papel de encuadernación, 75 pliegos de cartulina kimberly de diversos colores y gramajes, 7 cilindros de papel japonés 24x39 pulgadas tipo handmade Sekishu, código JTPSN, 6 cilindros de papel japonés 24½x39 pulgadas tipo handmade Kajin, código 51037, 3 cilindros de papel Archibond código GB-R1221641 y 2 carruchas de cinta color oro.</t>
  </si>
  <si>
    <t>Se requiere para la compra de papel para el uso en la gestión documental del departamento.</t>
  </si>
  <si>
    <t>Compra de folders tamaño oficio, carpetas colgantes  y papel. ¢50.000,00</t>
  </si>
  <si>
    <t xml:space="preserve">20 Gabachas para funcionarios (¢12500)=¢250.000 </t>
  </si>
  <si>
    <t xml:space="preserve">Servicios Generales: Adquisición de uniformes para oficiales de seguridad (3 pantalones, 3 camisas, por año)  ,Dos gabachas, camisas y pantalones para 5 funcionarios (2 funcionarios  jardineros, 1 de mantenimiento, 1 de limpieza, recepcionista) ₡600,000.
</t>
  </si>
  <si>
    <t>Pago de compra de 16 gabachas para las personas funcionarias del departamento, 5 metros de tela lona aislante gruesa para proteger los documentos durante los procesos de restauración y 50 rollos de hilo de cáñamo para realizar el cosido de documentos.</t>
  </si>
  <si>
    <t>Para la adquisición de materiales de limpieza para la cocina. ¢25.000 Prog 3</t>
  </si>
  <si>
    <t xml:space="preserve"> Servicios Generales: Compra de bolsas para basura grandes y de jardín, jabón líquido para manos, desinfectante, pledge, escobas, mechas, jabón lavaplatos, jabón en polvo (artículos para toda la institución)   ¢300,000.                         </t>
  </si>
  <si>
    <t>Pago de compra de 3 galones de detergente neutro líquido para el lavado de documentos sucios.</t>
  </si>
  <si>
    <t>_Comisión Auxiliar de Emergencias: 20 chalecos aptos para la atención de emergencias para los brigadistas, que sea respirable, con compartimentos y ajustable, con un valor aproximado de 35.000,00 cada uno. (Según los lineamientos de la Comisión Intitucional de Emergencias del Ministerio de Cultura y Juventud).
¢500.000 Prog 3</t>
  </si>
  <si>
    <t>Servicios Generales: Adquisición de Guantes, anteojos, equipo de protección para personal de mantenimiento y jardineria ¢150,000</t>
  </si>
  <si>
    <t>Compra y reposición de algunos utensilios en la cocina. ¢20.000 Prog. 3</t>
  </si>
  <si>
    <t>Para la compra de placas para el reconocimiento de los ganadores a los premios archivísticos en el 2019. ¢150.000,00 Prog. 2
Baterías triple A recargables y su respectivo cargador para las grabadoras utilizadas por la secretaria de la Junta Administrativa, la Asesoría Jurídica y la Unidad de Proyección Institucional. ¢45.000.00 Prog. 3
Baterías doble A recargables para el mouse y teclado inalámbrico de la diseñadora gráfica. ¢20.000.00 Prog. 3
Total Prog. 3: ¢65.000,00</t>
  </si>
  <si>
    <t xml:space="preserve">  Servicios Generales: Gafetes para visitantes con su  correspondiente porta gafete y cordón ¢100,000 Baterías (pilas) para focos de oficiales de seguridad, detector de metales, relojes, control de portón eléctrico ¢25,000,00.                      Recursos Humanos: 100 porta carnet y  (¢300 cada carnet  para funcionarios nuevos, sustituciones de los dañados y extraviados.  ¢30.000.00</t>
  </si>
  <si>
    <t>Para la compra de otros suministros para la auditoría ¢25.000</t>
  </si>
  <si>
    <t>Pago de la cuota al Programa Ayudas para el Desarrollo de los Archivos Iberoamericanos de la XXII Convocatoria a tipo de cambio de  ₡800.00 el Euro (€10.500).  Total ¢8.400.000,00 . Prog 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</si>
</sst>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0.00_);_(* \(#,##0.00\);_(* \-??_);_(@_)"/>
    <numFmt numFmtId="165" formatCode="#,###.00"/>
    <numFmt numFmtId="166" formatCode="#,##0.000000"/>
    <numFmt numFmtId="167" formatCode="#,##0.00000000000000000"/>
    <numFmt numFmtId="168" formatCode="_(* #,##0.00_);_(* \(#,##0.00\);_(* &quot;-&quot;??_);_(@_)"/>
    <numFmt numFmtId="169" formatCode="0.000000"/>
  </numFmts>
  <fonts count="27">
    <font>
      <sz val="10"/>
      <name val="Arial"/>
    </font>
    <font>
      <sz val="10"/>
      <name val="Arial"/>
    </font>
    <font>
      <b/>
      <sz val="12"/>
      <name val="Arial"/>
      <family val="2"/>
    </font>
    <font>
      <sz val="10"/>
      <name val="Arial"/>
      <family val="2"/>
    </font>
    <font>
      <sz val="9"/>
      <name val="Arial"/>
      <family val="2"/>
    </font>
    <font>
      <b/>
      <sz val="12"/>
      <name val="Lucida Sans Unicode"/>
      <family val="2"/>
    </font>
    <font>
      <b/>
      <sz val="9"/>
      <name val="Lucida Sans Unicode"/>
      <family val="2"/>
    </font>
    <font>
      <b/>
      <sz val="9"/>
      <name val="Arial"/>
      <family val="2"/>
    </font>
    <font>
      <b/>
      <sz val="10"/>
      <name val="Arial"/>
      <family val="2"/>
    </font>
    <font>
      <i/>
      <sz val="9"/>
      <name val="Arial"/>
      <family val="2"/>
    </font>
    <font>
      <sz val="12"/>
      <name val="Arial"/>
      <family val="2"/>
    </font>
    <font>
      <b/>
      <u/>
      <sz val="10"/>
      <name val="Arial"/>
      <family val="2"/>
    </font>
    <font>
      <u/>
      <sz val="10"/>
      <name val="Arial"/>
      <family val="2"/>
    </font>
    <font>
      <i/>
      <sz val="10"/>
      <name val="Arial"/>
      <family val="2"/>
    </font>
    <font>
      <b/>
      <sz val="8"/>
      <color indexed="81"/>
      <name val="Tahoma"/>
      <family val="2"/>
    </font>
    <font>
      <sz val="8"/>
      <color indexed="81"/>
      <name val="Tahoma"/>
      <family val="2"/>
    </font>
    <font>
      <b/>
      <sz val="11"/>
      <name val="Arial"/>
      <family val="2"/>
    </font>
    <font>
      <b/>
      <u/>
      <sz val="11"/>
      <name val="Arial"/>
      <family val="2"/>
    </font>
    <font>
      <sz val="11"/>
      <name val="Arial"/>
      <family val="2"/>
    </font>
    <font>
      <i/>
      <sz val="11"/>
      <name val="Arial"/>
      <family val="2"/>
    </font>
    <font>
      <b/>
      <i/>
      <sz val="11"/>
      <name val="Arial"/>
      <family val="2"/>
    </font>
    <font>
      <b/>
      <i/>
      <sz val="10"/>
      <name val="Arial"/>
      <family val="2"/>
    </font>
    <font>
      <sz val="10"/>
      <color indexed="9"/>
      <name val="Arial"/>
      <family val="2"/>
    </font>
    <font>
      <b/>
      <sz val="10"/>
      <name val="Arial,Bold"/>
    </font>
    <font>
      <b/>
      <sz val="10"/>
      <color indexed="9"/>
      <name val="Arial"/>
      <family val="2"/>
    </font>
    <font>
      <sz val="10"/>
      <color theme="0"/>
      <name val="Arial"/>
      <family val="2"/>
    </font>
    <font>
      <b/>
      <sz val="10"/>
      <color theme="0"/>
      <name val="Arial"/>
      <family val="2"/>
    </font>
  </fonts>
  <fills count="11">
    <fill>
      <patternFill patternType="none"/>
    </fill>
    <fill>
      <patternFill patternType="gray125"/>
    </fill>
    <fill>
      <patternFill patternType="solid">
        <fgColor rgb="FF4AD5D2"/>
        <bgColor indexed="64"/>
      </patternFill>
    </fill>
    <fill>
      <patternFill patternType="solid">
        <fgColor indexed="9"/>
        <bgColor indexed="64"/>
      </patternFill>
    </fill>
    <fill>
      <patternFill patternType="solid">
        <fgColor rgb="FF33CCCC"/>
        <bgColor indexed="64"/>
      </patternFill>
    </fill>
    <fill>
      <patternFill patternType="solid">
        <fgColor theme="0"/>
        <bgColor indexed="64"/>
      </patternFill>
    </fill>
    <fill>
      <patternFill patternType="solid">
        <fgColor indexed="27"/>
        <bgColor indexed="41"/>
      </patternFill>
    </fill>
    <fill>
      <patternFill patternType="solid">
        <fgColor indexed="41"/>
        <bgColor indexed="64"/>
      </patternFill>
    </fill>
    <fill>
      <patternFill patternType="solid">
        <fgColor rgb="FF4AD5D2"/>
        <bgColor indexed="41"/>
      </patternFill>
    </fill>
    <fill>
      <patternFill patternType="solid">
        <fgColor rgb="FF4DD6D3"/>
        <bgColor indexed="64"/>
      </patternFill>
    </fill>
    <fill>
      <patternFill patternType="solid">
        <fgColor theme="0"/>
        <bgColor indexed="41"/>
      </patternFill>
    </fill>
  </fills>
  <borders count="78">
    <border>
      <left/>
      <right/>
      <top/>
      <bottom/>
      <diagonal/>
    </border>
    <border>
      <left/>
      <right/>
      <top/>
      <bottom style="medium">
        <color indexed="64"/>
      </bottom>
      <diagonal/>
    </border>
    <border>
      <left/>
      <right/>
      <top style="thin">
        <color indexed="64"/>
      </top>
      <bottom style="double">
        <color indexed="64"/>
      </bottom>
      <diagonal/>
    </border>
    <border>
      <left/>
      <right/>
      <top/>
      <bottom style="double">
        <color indexed="8"/>
      </bottom>
      <diagonal/>
    </border>
    <border>
      <left/>
      <right/>
      <top style="double">
        <color indexed="8"/>
      </top>
      <bottom style="double">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double">
        <color indexed="8"/>
      </bottom>
      <diagonal/>
    </border>
    <border>
      <left style="medium">
        <color indexed="64"/>
      </left>
      <right style="thin">
        <color indexed="8"/>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style="medium">
        <color indexed="8"/>
      </right>
      <top style="medium">
        <color indexed="64"/>
      </top>
      <bottom/>
      <diagonal/>
    </border>
    <border>
      <left style="medium">
        <color indexed="8"/>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8"/>
      </right>
      <top style="medium">
        <color indexed="8"/>
      </top>
      <bottom/>
      <diagonal/>
    </border>
    <border>
      <left style="medium">
        <color indexed="8"/>
      </left>
      <right style="medium">
        <color indexed="8"/>
      </right>
      <top style="medium">
        <color indexed="8"/>
      </top>
      <bottom/>
      <diagonal/>
    </border>
    <border>
      <left/>
      <right style="medium">
        <color indexed="8"/>
      </right>
      <top/>
      <bottom/>
      <diagonal/>
    </border>
    <border>
      <left style="medium">
        <color indexed="8"/>
      </left>
      <right style="medium">
        <color indexed="8"/>
      </right>
      <top/>
      <bottom style="thin">
        <color indexed="8"/>
      </bottom>
      <diagonal/>
    </border>
    <border>
      <left style="medium">
        <color indexed="8"/>
      </left>
      <right style="medium">
        <color indexed="64"/>
      </right>
      <top/>
      <bottom style="thin">
        <color indexed="8"/>
      </bottom>
      <diagonal/>
    </border>
    <border>
      <left/>
      <right style="medium">
        <color indexed="8"/>
      </right>
      <top style="medium">
        <color indexed="8"/>
      </top>
      <bottom/>
      <diagonal/>
    </border>
    <border>
      <left style="medium">
        <color indexed="8"/>
      </left>
      <right style="medium">
        <color indexed="8"/>
      </right>
      <top style="thin">
        <color indexed="8"/>
      </top>
      <bottom/>
      <diagonal/>
    </border>
    <border>
      <left style="medium">
        <color indexed="8"/>
      </left>
      <right style="medium">
        <color indexed="64"/>
      </right>
      <top style="thin">
        <color indexed="8"/>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8"/>
      </left>
      <right/>
      <top style="medium">
        <color indexed="8"/>
      </top>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medium">
        <color indexed="64"/>
      </left>
      <right style="medium">
        <color indexed="64"/>
      </right>
      <top/>
      <bottom style="medium">
        <color indexed="64"/>
      </bottom>
      <diagonal/>
    </border>
    <border>
      <left/>
      <right style="medium">
        <color indexed="8"/>
      </right>
      <top/>
      <bottom style="medium">
        <color indexed="64"/>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8"/>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164" fontId="3" fillId="0" borderId="0" applyFill="0" applyBorder="0" applyAlignment="0" applyProtection="0"/>
    <xf numFmtId="9" fontId="3" fillId="0" borderId="0" applyFill="0" applyBorder="0" applyAlignment="0" applyProtection="0"/>
    <xf numFmtId="0" fontId="1" fillId="0" borderId="0"/>
    <xf numFmtId="0" fontId="3" fillId="0" borderId="0"/>
    <xf numFmtId="0" fontId="1" fillId="0" borderId="0"/>
    <xf numFmtId="0" fontId="1" fillId="0" borderId="0"/>
    <xf numFmtId="164" fontId="1" fillId="0" borderId="0" applyFill="0" applyBorder="0" applyAlignment="0" applyProtection="0"/>
    <xf numFmtId="0" fontId="3" fillId="0" borderId="0"/>
    <xf numFmtId="9" fontId="3" fillId="0" borderId="0" applyFont="0" applyFill="0" applyBorder="0" applyAlignment="0" applyProtection="0"/>
  </cellStyleXfs>
  <cellXfs count="411">
    <xf numFmtId="0" fontId="0" fillId="0" borderId="0" xfId="0"/>
    <xf numFmtId="164" fontId="4" fillId="0" borderId="0" xfId="1" applyFont="1"/>
    <xf numFmtId="0" fontId="6" fillId="0" borderId="0" xfId="0" applyFont="1" applyFill="1" applyBorder="1" applyAlignment="1">
      <alignment horizontal="center"/>
    </xf>
    <xf numFmtId="0" fontId="7" fillId="0" borderId="0" xfId="0" applyFont="1" applyFill="1" applyBorder="1" applyAlignment="1">
      <alignment horizontal="center"/>
    </xf>
    <xf numFmtId="164" fontId="4" fillId="0" borderId="0" xfId="1" applyFont="1" applyFill="1" applyBorder="1" applyAlignment="1">
      <alignment horizontal="center"/>
    </xf>
    <xf numFmtId="164" fontId="4" fillId="0" borderId="0" xfId="1" applyFont="1" applyFill="1" applyBorder="1"/>
    <xf numFmtId="4" fontId="4" fillId="0" borderId="0" xfId="0" applyNumberFormat="1" applyFont="1" applyFill="1" applyBorder="1"/>
    <xf numFmtId="4" fontId="7" fillId="0" borderId="0" xfId="0" applyNumberFormat="1" applyFont="1" applyFill="1" applyBorder="1" applyAlignment="1">
      <alignment horizontal="center"/>
    </xf>
    <xf numFmtId="4" fontId="4" fillId="2" borderId="0" xfId="0" applyNumberFormat="1" applyFont="1" applyFill="1" applyBorder="1" applyAlignment="1">
      <alignment horizontal="center"/>
    </xf>
    <xf numFmtId="4" fontId="4" fillId="0" borderId="0" xfId="0" applyNumberFormat="1" applyFont="1" applyFill="1" applyBorder="1" applyAlignment="1">
      <alignment horizontal="center"/>
    </xf>
    <xf numFmtId="164" fontId="4" fillId="2" borderId="0" xfId="1" applyFont="1" applyFill="1" applyBorder="1" applyAlignment="1">
      <alignment horizontal="center"/>
    </xf>
    <xf numFmtId="0" fontId="7" fillId="2" borderId="0" xfId="0" applyFont="1" applyFill="1" applyBorder="1" applyAlignment="1">
      <alignment horizontal="center"/>
    </xf>
    <xf numFmtId="164" fontId="7" fillId="2" borderId="0" xfId="1" applyFont="1" applyFill="1" applyBorder="1" applyAlignment="1">
      <alignment horizontal="center"/>
    </xf>
    <xf numFmtId="0" fontId="4" fillId="2" borderId="0" xfId="0" applyFont="1" applyFill="1"/>
    <xf numFmtId="0" fontId="4" fillId="0" borderId="0" xfId="0" applyFont="1" applyFill="1" applyBorder="1"/>
    <xf numFmtId="165" fontId="4" fillId="0" borderId="0" xfId="0" applyNumberFormat="1" applyFont="1" applyFill="1" applyBorder="1"/>
    <xf numFmtId="164" fontId="4" fillId="0" borderId="0" xfId="1" applyFont="1" applyFill="1" applyBorder="1" applyAlignment="1">
      <alignment horizontal="right"/>
    </xf>
    <xf numFmtId="0" fontId="7" fillId="0" borderId="0" xfId="0" applyFont="1" applyFill="1" applyBorder="1"/>
    <xf numFmtId="164" fontId="7" fillId="0" borderId="0" xfId="1" applyFont="1" applyFill="1" applyBorder="1"/>
    <xf numFmtId="165" fontId="7" fillId="0" borderId="0" xfId="0" applyNumberFormat="1" applyFont="1" applyFill="1" applyBorder="1"/>
    <xf numFmtId="164" fontId="7" fillId="0" borderId="0" xfId="1" applyFont="1" applyFill="1" applyBorder="1" applyAlignment="1">
      <alignment horizontal="right"/>
    </xf>
    <xf numFmtId="164" fontId="7" fillId="0" borderId="0" xfId="1" applyFont="1"/>
    <xf numFmtId="0" fontId="8" fillId="0" borderId="0" xfId="0" applyFont="1"/>
    <xf numFmtId="164" fontId="4" fillId="0" borderId="0" xfId="1" applyFont="1" applyFill="1"/>
    <xf numFmtId="164" fontId="4" fillId="0" borderId="0" xfId="1" applyFont="1" applyFill="1" applyBorder="1" applyProtection="1"/>
    <xf numFmtId="4" fontId="4" fillId="0" borderId="0" xfId="0" applyNumberFormat="1" applyFont="1" applyFill="1" applyProtection="1"/>
    <xf numFmtId="0" fontId="4" fillId="0" borderId="0" xfId="0" applyFont="1"/>
    <xf numFmtId="0" fontId="4" fillId="0" borderId="0" xfId="0" applyFont="1" applyFill="1"/>
    <xf numFmtId="164" fontId="7" fillId="0" borderId="0" xfId="1" applyFont="1" applyFill="1"/>
    <xf numFmtId="0" fontId="7" fillId="0" borderId="0" xfId="0" applyFont="1" applyFill="1"/>
    <xf numFmtId="4" fontId="4" fillId="0" borderId="0" xfId="0" applyNumberFormat="1" applyFont="1" applyFill="1"/>
    <xf numFmtId="0" fontId="9" fillId="0" borderId="0" xfId="0" applyFont="1" applyFill="1" applyBorder="1"/>
    <xf numFmtId="164" fontId="7" fillId="0" borderId="2" xfId="1" applyFont="1" applyFill="1" applyBorder="1"/>
    <xf numFmtId="164" fontId="4" fillId="0" borderId="0" xfId="0" applyNumberFormat="1" applyFont="1" applyFill="1"/>
    <xf numFmtId="166" fontId="4" fillId="0" borderId="0" xfId="0" applyNumberFormat="1" applyFont="1" applyFill="1"/>
    <xf numFmtId="0" fontId="0" fillId="3" borderId="0" xfId="0" applyFill="1"/>
    <xf numFmtId="0" fontId="10" fillId="3" borderId="0" xfId="0" applyFont="1" applyFill="1"/>
    <xf numFmtId="0" fontId="10" fillId="3" borderId="3" xfId="0" applyFont="1" applyFill="1" applyBorder="1" applyAlignment="1">
      <alignment horizontal="center"/>
    </xf>
    <xf numFmtId="0" fontId="1" fillId="4" borderId="4" xfId="0" applyFont="1" applyFill="1" applyBorder="1"/>
    <xf numFmtId="0" fontId="8" fillId="4" borderId="4" xfId="0" applyFont="1" applyFill="1" applyBorder="1"/>
    <xf numFmtId="0" fontId="8" fillId="4" borderId="4" xfId="0" applyFont="1" applyFill="1" applyBorder="1" applyAlignment="1" applyProtection="1">
      <alignment horizontal="center"/>
    </xf>
    <xf numFmtId="0" fontId="8" fillId="4" borderId="3" xfId="0" applyFont="1" applyFill="1" applyBorder="1" applyAlignment="1">
      <alignment horizontal="center"/>
    </xf>
    <xf numFmtId="0" fontId="1" fillId="3" borderId="0" xfId="0" applyFont="1" applyFill="1"/>
    <xf numFmtId="0" fontId="3" fillId="3" borderId="0" xfId="0" applyFont="1" applyFill="1"/>
    <xf numFmtId="0" fontId="1" fillId="3" borderId="0" xfId="0" applyFont="1" applyFill="1" applyAlignment="1">
      <alignment horizontal="center"/>
    </xf>
    <xf numFmtId="49" fontId="1" fillId="3" borderId="0" xfId="0" applyNumberFormat="1" applyFont="1" applyFill="1" applyBorder="1" applyAlignment="1">
      <alignment horizontal="center"/>
    </xf>
    <xf numFmtId="0" fontId="8" fillId="3" borderId="0" xfId="0" applyFont="1" applyFill="1" applyBorder="1" applyAlignment="1" applyProtection="1">
      <alignment horizontal="left"/>
    </xf>
    <xf numFmtId="4" fontId="8" fillId="3" borderId="0" xfId="0" applyNumberFormat="1" applyFont="1" applyFill="1" applyBorder="1"/>
    <xf numFmtId="4" fontId="8" fillId="3" borderId="0" xfId="0" applyNumberFormat="1" applyFont="1" applyFill="1" applyBorder="1" applyProtection="1"/>
    <xf numFmtId="10" fontId="8" fillId="3" borderId="0" xfId="0" applyNumberFormat="1" applyFont="1" applyFill="1" applyAlignment="1">
      <alignment horizontal="center"/>
    </xf>
    <xf numFmtId="4" fontId="0" fillId="3" borderId="0" xfId="0" applyNumberFormat="1" applyFill="1"/>
    <xf numFmtId="4" fontId="3" fillId="3" borderId="0" xfId="0" applyNumberFormat="1" applyFont="1" applyFill="1"/>
    <xf numFmtId="4" fontId="1" fillId="3" borderId="0" xfId="0" applyNumberFormat="1" applyFont="1" applyFill="1"/>
    <xf numFmtId="10" fontId="1" fillId="3" borderId="0" xfId="0" applyNumberFormat="1" applyFont="1" applyFill="1" applyAlignment="1">
      <alignment horizontal="center"/>
    </xf>
    <xf numFmtId="0" fontId="8" fillId="3" borderId="0" xfId="0" applyFont="1" applyFill="1" applyAlignment="1">
      <alignment horizontal="center"/>
    </xf>
    <xf numFmtId="49" fontId="8" fillId="3" borderId="0" xfId="0" applyNumberFormat="1" applyFont="1" applyFill="1" applyBorder="1" applyAlignment="1">
      <alignment horizontal="center"/>
    </xf>
    <xf numFmtId="0" fontId="11" fillId="3" borderId="0" xfId="0" applyFont="1" applyFill="1" applyBorder="1"/>
    <xf numFmtId="4" fontId="8" fillId="3" borderId="0" xfId="0" applyNumberFormat="1" applyFont="1" applyFill="1" applyProtection="1"/>
    <xf numFmtId="4" fontId="8" fillId="3" borderId="0" xfId="0" applyNumberFormat="1" applyFont="1" applyFill="1"/>
    <xf numFmtId="0" fontId="8" fillId="3" borderId="0" xfId="0" applyFont="1" applyFill="1"/>
    <xf numFmtId="0" fontId="1" fillId="3" borderId="0" xfId="0" applyFont="1" applyFill="1" applyBorder="1"/>
    <xf numFmtId="4" fontId="3" fillId="3" borderId="0" xfId="0" applyNumberFormat="1" applyFont="1" applyFill="1" applyProtection="1"/>
    <xf numFmtId="0" fontId="8" fillId="3" borderId="0" xfId="0" applyFont="1" applyFill="1" applyBorder="1"/>
    <xf numFmtId="0" fontId="12" fillId="3" borderId="0" xfId="0" applyFont="1" applyFill="1" applyBorder="1"/>
    <xf numFmtId="0" fontId="13" fillId="3" borderId="0" xfId="0" applyFont="1" applyFill="1" applyBorder="1"/>
    <xf numFmtId="4" fontId="13" fillId="3" borderId="0" xfId="0" applyNumberFormat="1" applyFont="1" applyFill="1" applyProtection="1"/>
    <xf numFmtId="0" fontId="3" fillId="3" borderId="0" xfId="0" applyFont="1" applyFill="1" applyBorder="1"/>
    <xf numFmtId="0" fontId="0" fillId="3" borderId="5" xfId="0" applyFill="1" applyBorder="1"/>
    <xf numFmtId="0" fontId="0" fillId="3" borderId="6" xfId="0" applyFill="1" applyBorder="1"/>
    <xf numFmtId="0" fontId="0" fillId="3" borderId="7" xfId="0" applyFill="1" applyBorder="1"/>
    <xf numFmtId="0" fontId="3" fillId="3" borderId="0" xfId="0" applyFont="1" applyFill="1" applyBorder="1" applyAlignment="1">
      <alignment horizontal="left"/>
    </xf>
    <xf numFmtId="4" fontId="0" fillId="3" borderId="8" xfId="0" applyNumberFormat="1" applyFill="1" applyBorder="1"/>
    <xf numFmtId="0" fontId="0" fillId="3" borderId="0" xfId="0" applyFill="1" applyBorder="1"/>
    <xf numFmtId="0" fontId="0" fillId="3" borderId="9" xfId="0" applyFill="1" applyBorder="1"/>
    <xf numFmtId="49" fontId="3" fillId="3" borderId="0" xfId="0" applyNumberFormat="1" applyFont="1" applyFill="1" applyBorder="1" applyAlignment="1">
      <alignment horizontal="center"/>
    </xf>
    <xf numFmtId="4" fontId="0" fillId="3" borderId="10" xfId="0" applyNumberFormat="1" applyFill="1" applyBorder="1"/>
    <xf numFmtId="0" fontId="0" fillId="3" borderId="11" xfId="0" applyFill="1" applyBorder="1"/>
    <xf numFmtId="0" fontId="0" fillId="3" borderId="12" xfId="0" applyFill="1" applyBorder="1"/>
    <xf numFmtId="0" fontId="12" fillId="3" borderId="0" xfId="0" applyFont="1" applyFill="1" applyBorder="1" applyAlignment="1">
      <alignment horizontal="left"/>
    </xf>
    <xf numFmtId="4" fontId="3" fillId="3" borderId="0" xfId="0" applyNumberFormat="1" applyFont="1" applyFill="1" applyBorder="1" applyProtection="1"/>
    <xf numFmtId="4" fontId="1" fillId="3" borderId="0" xfId="0" applyNumberFormat="1" applyFont="1" applyFill="1" applyBorder="1"/>
    <xf numFmtId="0" fontId="1" fillId="3" borderId="0" xfId="0" applyFont="1" applyFill="1" applyBorder="1" applyAlignment="1">
      <alignment horizontal="left"/>
    </xf>
    <xf numFmtId="4" fontId="3" fillId="3" borderId="0" xfId="3" applyNumberFormat="1" applyFont="1" applyFill="1"/>
    <xf numFmtId="0" fontId="0" fillId="3" borderId="0" xfId="0" applyFont="1" applyFill="1" applyBorder="1"/>
    <xf numFmtId="4" fontId="3" fillId="5" borderId="0" xfId="0" applyNumberFormat="1" applyFont="1" applyFill="1" applyProtection="1"/>
    <xf numFmtId="49" fontId="1" fillId="3" borderId="0" xfId="0" applyNumberFormat="1" applyFont="1" applyFill="1" applyBorder="1" applyAlignment="1">
      <alignment horizontal="left"/>
    </xf>
    <xf numFmtId="0" fontId="1" fillId="3" borderId="0" xfId="0" applyFont="1" applyFill="1" applyBorder="1" applyAlignment="1">
      <alignment horizontal="center"/>
    </xf>
    <xf numFmtId="0" fontId="8" fillId="3" borderId="0" xfId="0" applyFont="1" applyFill="1" applyBorder="1" applyAlignment="1">
      <alignment horizontal="left"/>
    </xf>
    <xf numFmtId="0" fontId="8" fillId="3" borderId="0" xfId="0" applyFont="1" applyFill="1" applyAlignment="1" applyProtection="1">
      <alignment horizontal="left"/>
    </xf>
    <xf numFmtId="4" fontId="8" fillId="3" borderId="13" xfId="0" applyNumberFormat="1" applyFont="1" applyFill="1" applyBorder="1" applyProtection="1"/>
    <xf numFmtId="10" fontId="8" fillId="3" borderId="13" xfId="0" applyNumberFormat="1" applyFont="1" applyFill="1" applyBorder="1" applyAlignment="1">
      <alignment horizontal="center"/>
    </xf>
    <xf numFmtId="164" fontId="3" fillId="3" borderId="0" xfId="1" applyFill="1" applyBorder="1"/>
    <xf numFmtId="43" fontId="1" fillId="3" borderId="0" xfId="0" applyNumberFormat="1" applyFont="1" applyFill="1" applyBorder="1"/>
    <xf numFmtId="167" fontId="1" fillId="3" borderId="0" xfId="0" applyNumberFormat="1" applyFont="1" applyFill="1" applyBorder="1"/>
    <xf numFmtId="164" fontId="7" fillId="2" borderId="16" xfId="1" applyFont="1" applyFill="1" applyBorder="1" applyAlignment="1">
      <alignment horizontal="center"/>
    </xf>
    <xf numFmtId="164" fontId="7" fillId="2" borderId="17" xfId="1" applyFont="1" applyFill="1" applyBorder="1" applyAlignment="1">
      <alignment horizontal="center"/>
    </xf>
    <xf numFmtId="164" fontId="7" fillId="2" borderId="19" xfId="1" applyFont="1" applyFill="1" applyBorder="1" applyAlignment="1">
      <alignment horizontal="center"/>
    </xf>
    <xf numFmtId="0" fontId="2" fillId="2" borderId="1" xfId="0" applyFont="1" applyFill="1" applyBorder="1" applyAlignment="1">
      <alignment vertical="center"/>
    </xf>
    <xf numFmtId="0" fontId="2" fillId="2" borderId="22" xfId="0" applyFont="1" applyFill="1" applyBorder="1" applyAlignment="1">
      <alignment vertical="center"/>
    </xf>
    <xf numFmtId="0" fontId="16" fillId="0" borderId="0" xfId="0" applyFont="1" applyBorder="1" applyAlignment="1">
      <alignment horizontal="left"/>
    </xf>
    <xf numFmtId="0" fontId="17" fillId="0" borderId="0" xfId="0" applyFont="1" applyBorder="1"/>
    <xf numFmtId="4" fontId="17" fillId="0" borderId="0" xfId="0" applyNumberFormat="1" applyFont="1" applyFill="1" applyBorder="1"/>
    <xf numFmtId="4" fontId="11" fillId="0" borderId="0" xfId="0" applyNumberFormat="1" applyFont="1" applyFill="1" applyBorder="1"/>
    <xf numFmtId="4" fontId="16" fillId="0" borderId="0" xfId="0" applyNumberFormat="1" applyFont="1" applyFill="1" applyBorder="1"/>
    <xf numFmtId="4" fontId="8" fillId="0" borderId="0" xfId="0" applyNumberFormat="1" applyFont="1" applyFill="1" applyBorder="1"/>
    <xf numFmtId="4" fontId="3" fillId="0" borderId="0" xfId="0" applyNumberFormat="1" applyFont="1" applyFill="1" applyBorder="1"/>
    <xf numFmtId="0" fontId="3" fillId="0" borderId="0" xfId="0" applyFont="1"/>
    <xf numFmtId="0" fontId="16" fillId="0" borderId="0" xfId="0" applyFont="1" applyBorder="1"/>
    <xf numFmtId="0" fontId="18" fillId="0" borderId="0" xfId="0" applyFont="1" applyBorder="1" applyAlignment="1">
      <alignment horizontal="left"/>
    </xf>
    <xf numFmtId="4" fontId="18" fillId="0" borderId="0" xfId="0" applyNumberFormat="1" applyFont="1" applyFill="1" applyBorder="1"/>
    <xf numFmtId="0" fontId="19" fillId="0" borderId="0" xfId="0" applyFont="1" applyBorder="1"/>
    <xf numFmtId="4" fontId="19" fillId="0" borderId="0" xfId="0" applyNumberFormat="1" applyFont="1" applyFill="1" applyBorder="1"/>
    <xf numFmtId="4" fontId="13" fillId="0" borderId="0" xfId="0" applyNumberFormat="1" applyFont="1" applyFill="1" applyBorder="1"/>
    <xf numFmtId="0" fontId="18" fillId="0" borderId="0" xfId="0" applyFont="1" applyBorder="1"/>
    <xf numFmtId="4" fontId="16" fillId="0" borderId="0" xfId="0" applyNumberFormat="1" applyFont="1"/>
    <xf numFmtId="4" fontId="8" fillId="0" borderId="0" xfId="0" applyNumberFormat="1" applyFont="1"/>
    <xf numFmtId="4" fontId="20" fillId="0" borderId="0" xfId="0" applyNumberFormat="1" applyFont="1" applyFill="1" applyBorder="1"/>
    <xf numFmtId="0" fontId="19" fillId="0" borderId="0" xfId="0" applyFont="1" applyBorder="1" applyAlignment="1">
      <alignment horizontal="left"/>
    </xf>
    <xf numFmtId="4" fontId="3" fillId="0" borderId="0" xfId="0" applyNumberFormat="1" applyFont="1"/>
    <xf numFmtId="0" fontId="19" fillId="0" borderId="0" xfId="0" applyFont="1" applyFill="1" applyBorder="1"/>
    <xf numFmtId="0" fontId="16" fillId="0" borderId="23" xfId="0" applyFont="1" applyBorder="1"/>
    <xf numFmtId="0" fontId="2" fillId="0" borderId="23" xfId="0" applyFont="1" applyBorder="1"/>
    <xf numFmtId="4" fontId="2" fillId="0" borderId="23" xfId="0" applyNumberFormat="1" applyFont="1" applyFill="1" applyBorder="1"/>
    <xf numFmtId="4" fontId="8" fillId="0" borderId="23" xfId="0" applyNumberFormat="1" applyFont="1" applyFill="1" applyBorder="1"/>
    <xf numFmtId="0" fontId="0" fillId="0" borderId="0" xfId="0" applyFont="1" applyFill="1"/>
    <xf numFmtId="0" fontId="0" fillId="0" borderId="0" xfId="0" applyFill="1" applyAlignment="1">
      <alignment horizontal="center"/>
    </xf>
    <xf numFmtId="0" fontId="0" fillId="0" borderId="0" xfId="0" applyFont="1" applyFill="1" applyAlignment="1">
      <alignment horizontal="center"/>
    </xf>
    <xf numFmtId="0" fontId="3" fillId="0" borderId="0" xfId="0" applyFont="1" applyFill="1"/>
    <xf numFmtId="164" fontId="22" fillId="0" borderId="0" xfId="1" applyFont="1" applyFill="1" applyBorder="1"/>
    <xf numFmtId="164" fontId="3" fillId="0" borderId="0" xfId="1" applyFill="1" applyBorder="1"/>
    <xf numFmtId="164" fontId="8" fillId="0" borderId="33" xfId="1" applyNumberFormat="1" applyFont="1" applyFill="1" applyBorder="1" applyAlignment="1" applyProtection="1">
      <alignment horizontal="center"/>
      <protection locked="0"/>
    </xf>
    <xf numFmtId="164" fontId="8" fillId="0" borderId="34" xfId="1" applyNumberFormat="1" applyFont="1" applyFill="1" applyBorder="1" applyAlignment="1" applyProtection="1">
      <alignment horizontal="center"/>
      <protection locked="0"/>
    </xf>
    <xf numFmtId="4" fontId="0" fillId="0" borderId="0" xfId="0" applyNumberFormat="1" applyFont="1" applyFill="1"/>
    <xf numFmtId="4" fontId="8" fillId="2" borderId="0" xfId="0" applyNumberFormat="1" applyFont="1" applyFill="1" applyBorder="1" applyAlignment="1" applyProtection="1">
      <alignment horizontal="right"/>
    </xf>
    <xf numFmtId="164" fontId="8" fillId="0" borderId="36" xfId="1" applyNumberFormat="1" applyFont="1" applyFill="1" applyBorder="1" applyAlignment="1" applyProtection="1">
      <alignment horizontal="center"/>
      <protection locked="0"/>
    </xf>
    <xf numFmtId="164" fontId="8" fillId="0" borderId="37" xfId="1" applyNumberFormat="1" applyFont="1" applyFill="1" applyBorder="1" applyAlignment="1" applyProtection="1">
      <alignment horizontal="center"/>
      <protection locked="0"/>
    </xf>
    <xf numFmtId="164" fontId="3" fillId="0" borderId="38" xfId="1" applyFill="1" applyBorder="1" applyAlignment="1" applyProtection="1"/>
    <xf numFmtId="0" fontId="8" fillId="2" borderId="39" xfId="5" applyFont="1" applyFill="1" applyBorder="1" applyAlignment="1" applyProtection="1">
      <alignment horizontal="center" vertical="center"/>
      <protection locked="0"/>
    </xf>
    <xf numFmtId="4" fontId="8" fillId="2" borderId="40" xfId="0" applyNumberFormat="1" applyFont="1" applyFill="1" applyBorder="1" applyAlignment="1" applyProtection="1">
      <alignment horizontal="left"/>
    </xf>
    <xf numFmtId="4" fontId="8" fillId="2" borderId="40" xfId="0" applyNumberFormat="1" applyFont="1" applyFill="1" applyBorder="1" applyAlignment="1" applyProtection="1">
      <alignment horizontal="right"/>
    </xf>
    <xf numFmtId="4" fontId="8" fillId="2" borderId="41" xfId="0" applyNumberFormat="1" applyFont="1" applyFill="1" applyBorder="1" applyAlignment="1" applyProtection="1">
      <alignment horizontal="right"/>
    </xf>
    <xf numFmtId="164" fontId="3" fillId="0" borderId="42" xfId="1" applyFill="1" applyBorder="1" applyAlignment="1" applyProtection="1"/>
    <xf numFmtId="164" fontId="3" fillId="0" borderId="42" xfId="1" applyFill="1" applyBorder="1" applyAlignment="1" applyProtection="1">
      <protection locked="0"/>
    </xf>
    <xf numFmtId="164" fontId="3" fillId="0" borderId="43" xfId="1" applyFill="1" applyBorder="1" applyAlignment="1" applyProtection="1">
      <protection locked="0"/>
    </xf>
    <xf numFmtId="0" fontId="0" fillId="0" borderId="44" xfId="5" applyFont="1" applyFill="1" applyBorder="1" applyAlignment="1" applyProtection="1">
      <alignment vertical="center"/>
      <protection locked="0"/>
    </xf>
    <xf numFmtId="0" fontId="0" fillId="0" borderId="38" xfId="5" applyFont="1" applyFill="1" applyBorder="1" applyAlignment="1" applyProtection="1">
      <alignment vertical="center" wrapText="1"/>
      <protection locked="0"/>
    </xf>
    <xf numFmtId="164" fontId="3" fillId="0" borderId="38" xfId="1" applyFill="1" applyBorder="1" applyAlignment="1" applyProtection="1">
      <protection locked="0"/>
    </xf>
    <xf numFmtId="164" fontId="3" fillId="0" borderId="45" xfId="1" applyFill="1" applyBorder="1" applyAlignment="1" applyProtection="1">
      <protection locked="0"/>
    </xf>
    <xf numFmtId="164" fontId="8" fillId="6" borderId="42" xfId="1" applyFont="1" applyFill="1" applyBorder="1" applyAlignment="1" applyProtection="1"/>
    <xf numFmtId="164" fontId="8" fillId="6" borderId="43" xfId="1" applyFont="1" applyFill="1" applyBorder="1" applyAlignment="1" applyProtection="1"/>
    <xf numFmtId="0" fontId="0" fillId="0" borderId="46" xfId="0" applyFont="1" applyFill="1" applyBorder="1" applyAlignment="1" applyProtection="1">
      <alignment horizontal="left" vertical="center"/>
      <protection locked="0"/>
    </xf>
    <xf numFmtId="0" fontId="0" fillId="0" borderId="42" xfId="5" applyFont="1" applyFill="1" applyBorder="1" applyAlignment="1" applyProtection="1">
      <alignment horizontal="left" vertical="center" wrapText="1"/>
      <protection locked="0"/>
    </xf>
    <xf numFmtId="164" fontId="3" fillId="0" borderId="43" xfId="1" applyFill="1" applyBorder="1" applyAlignment="1" applyProtection="1"/>
    <xf numFmtId="0" fontId="8" fillId="6" borderId="46" xfId="0" applyFont="1" applyFill="1" applyBorder="1" applyAlignment="1" applyProtection="1">
      <alignment horizontal="left" vertical="center"/>
      <protection locked="0"/>
    </xf>
    <xf numFmtId="0" fontId="23" fillId="6" borderId="42" xfId="5" applyFont="1" applyFill="1" applyBorder="1" applyAlignment="1" applyProtection="1">
      <alignment horizontal="left" vertical="center" wrapText="1"/>
      <protection locked="0"/>
    </xf>
    <xf numFmtId="0" fontId="8" fillId="0" borderId="0" xfId="0" applyFont="1" applyFill="1"/>
    <xf numFmtId="164" fontId="8" fillId="0" borderId="0" xfId="1" applyFont="1" applyFill="1" applyBorder="1"/>
    <xf numFmtId="0" fontId="8" fillId="0" borderId="46" xfId="0" applyFont="1" applyFill="1" applyBorder="1" applyAlignment="1" applyProtection="1">
      <alignment horizontal="left" vertical="center"/>
      <protection locked="0"/>
    </xf>
    <xf numFmtId="164" fontId="3" fillId="6" borderId="42" xfId="1" applyFill="1" applyBorder="1" applyAlignment="1" applyProtection="1"/>
    <xf numFmtId="0" fontId="0" fillId="0" borderId="46" xfId="5" applyFont="1" applyFill="1" applyBorder="1" applyAlignment="1" applyProtection="1">
      <alignment vertical="center"/>
      <protection locked="0"/>
    </xf>
    <xf numFmtId="0" fontId="0" fillId="0" borderId="42" xfId="5" applyFont="1" applyFill="1" applyBorder="1" applyAlignment="1" applyProtection="1">
      <alignment vertical="center" wrapText="1"/>
      <protection locked="0"/>
    </xf>
    <xf numFmtId="0" fontId="0" fillId="0" borderId="46" xfId="5" applyFont="1" applyFill="1" applyBorder="1" applyAlignment="1" applyProtection="1">
      <alignment horizontal="left" vertical="center"/>
      <protection locked="0"/>
    </xf>
    <xf numFmtId="0" fontId="8" fillId="7" borderId="0" xfId="0" applyFont="1" applyFill="1"/>
    <xf numFmtId="164" fontId="8" fillId="7" borderId="0" xfId="1" applyFont="1" applyFill="1" applyBorder="1"/>
    <xf numFmtId="164" fontId="3" fillId="6" borderId="43" xfId="1" applyFill="1" applyBorder="1" applyAlignment="1" applyProtection="1"/>
    <xf numFmtId="0" fontId="23" fillId="0" borderId="42" xfId="5" applyFont="1" applyFill="1" applyBorder="1" applyAlignment="1" applyProtection="1">
      <alignment horizontal="left" vertical="center" wrapText="1"/>
      <protection locked="0"/>
    </xf>
    <xf numFmtId="164" fontId="3" fillId="0" borderId="47" xfId="1" applyFill="1" applyBorder="1" applyAlignment="1" applyProtection="1">
      <protection locked="0"/>
    </xf>
    <xf numFmtId="164" fontId="3" fillId="0" borderId="48" xfId="1" applyFill="1" applyBorder="1" applyAlignment="1" applyProtection="1">
      <protection locked="0"/>
    </xf>
    <xf numFmtId="0" fontId="0" fillId="0" borderId="49" xfId="5" applyFont="1" applyFill="1" applyBorder="1" applyAlignment="1" applyProtection="1">
      <alignment vertical="center"/>
      <protection locked="0"/>
    </xf>
    <xf numFmtId="0" fontId="0" fillId="0" borderId="47" xfId="5" applyFont="1" applyFill="1" applyBorder="1" applyAlignment="1" applyProtection="1">
      <alignment vertical="center" wrapText="1"/>
      <protection locked="0"/>
    </xf>
    <xf numFmtId="164" fontId="3" fillId="0" borderId="0" xfId="1" applyFill="1"/>
    <xf numFmtId="0" fontId="1" fillId="0" borderId="0" xfId="6" applyFont="1" applyFill="1"/>
    <xf numFmtId="0" fontId="22" fillId="0" borderId="0" xfId="3" applyFont="1" applyFill="1"/>
    <xf numFmtId="0" fontId="22" fillId="0" borderId="0" xfId="3" applyFont="1" applyFill="1" applyAlignment="1">
      <alignment wrapText="1"/>
    </xf>
    <xf numFmtId="10" fontId="24" fillId="0" borderId="0" xfId="2" applyNumberFormat="1" applyFont="1" applyFill="1" applyBorder="1" applyAlignment="1">
      <alignment horizontal="center"/>
    </xf>
    <xf numFmtId="9" fontId="22" fillId="0" borderId="0" xfId="0" applyNumberFormat="1" applyFont="1"/>
    <xf numFmtId="0" fontId="22" fillId="0" borderId="0" xfId="0" applyFont="1"/>
    <xf numFmtId="164" fontId="8" fillId="0" borderId="51" xfId="1" applyFont="1" applyFill="1" applyBorder="1" applyAlignment="1" applyProtection="1">
      <alignment horizontal="center"/>
      <protection locked="0"/>
    </xf>
    <xf numFmtId="164" fontId="8" fillId="0" borderId="52" xfId="1" applyFont="1" applyFill="1" applyBorder="1" applyAlignment="1" applyProtection="1">
      <alignment horizontal="center"/>
      <protection locked="0"/>
    </xf>
    <xf numFmtId="164" fontId="8" fillId="0" borderId="55" xfId="1" applyFont="1" applyFill="1" applyBorder="1" applyAlignment="1" applyProtection="1">
      <alignment horizontal="center"/>
      <protection locked="0"/>
    </xf>
    <xf numFmtId="164" fontId="8" fillId="0" borderId="56" xfId="1" applyFont="1" applyFill="1" applyBorder="1" applyAlignment="1" applyProtection="1">
      <alignment horizontal="center"/>
      <protection locked="0"/>
    </xf>
    <xf numFmtId="0" fontId="8" fillId="2" borderId="57" xfId="5" applyFont="1" applyFill="1" applyBorder="1" applyAlignment="1" applyProtection="1">
      <alignment horizontal="center" vertical="center"/>
      <protection locked="0"/>
    </xf>
    <xf numFmtId="4" fontId="8" fillId="8" borderId="58" xfId="0" applyNumberFormat="1" applyFont="1" applyFill="1" applyBorder="1" applyAlignment="1" applyProtection="1">
      <alignment horizontal="center" vertical="center" wrapText="1"/>
      <protection locked="0"/>
    </xf>
    <xf numFmtId="164" fontId="8" fillId="8" borderId="58" xfId="1" applyFont="1" applyFill="1" applyBorder="1" applyAlignment="1" applyProtection="1">
      <alignment horizontal="right"/>
    </xf>
    <xf numFmtId="164" fontId="8" fillId="8" borderId="22" xfId="1" applyFont="1" applyFill="1" applyBorder="1" applyAlignment="1" applyProtection="1">
      <alignment horizontal="right"/>
    </xf>
    <xf numFmtId="164" fontId="0" fillId="0" borderId="0" xfId="0" applyNumberFormat="1"/>
    <xf numFmtId="9" fontId="3" fillId="0" borderId="0" xfId="2"/>
    <xf numFmtId="168" fontId="2" fillId="0" borderId="0" xfId="0" applyNumberFormat="1" applyFont="1" applyFill="1" applyBorder="1" applyAlignment="1">
      <alignment vertical="center" wrapText="1"/>
    </xf>
    <xf numFmtId="168" fontId="0" fillId="0" borderId="0" xfId="0" applyNumberFormat="1"/>
    <xf numFmtId="168" fontId="0" fillId="0" borderId="0" xfId="0" applyNumberFormat="1" applyFill="1" applyBorder="1"/>
    <xf numFmtId="10" fontId="3" fillId="0" borderId="0" xfId="2" applyNumberFormat="1"/>
    <xf numFmtId="0" fontId="3" fillId="0" borderId="0" xfId="3" applyFont="1" applyFill="1"/>
    <xf numFmtId="0" fontId="1" fillId="0" borderId="0" xfId="3" applyFont="1" applyFill="1" applyAlignment="1">
      <alignment wrapText="1"/>
    </xf>
    <xf numFmtId="164" fontId="1" fillId="0" borderId="0" xfId="7" applyFill="1"/>
    <xf numFmtId="0" fontId="1" fillId="0" borderId="0" xfId="3" applyFont="1" applyFill="1"/>
    <xf numFmtId="169" fontId="1" fillId="0" borderId="0" xfId="3" applyNumberFormat="1" applyFont="1" applyFill="1"/>
    <xf numFmtId="0" fontId="1" fillId="0" borderId="0" xfId="3" applyFill="1" applyAlignment="1">
      <alignment horizontal="center"/>
    </xf>
    <xf numFmtId="0" fontId="1" fillId="0" borderId="0" xfId="3" applyFont="1" applyFill="1" applyAlignment="1">
      <alignment horizontal="center"/>
    </xf>
    <xf numFmtId="4" fontId="22" fillId="0" borderId="0" xfId="3" applyNumberFormat="1" applyFont="1" applyFill="1" applyBorder="1"/>
    <xf numFmtId="4" fontId="8" fillId="0" borderId="59" xfId="3" applyNumberFormat="1" applyFont="1" applyFill="1" applyBorder="1" applyAlignment="1">
      <alignment horizontal="center"/>
    </xf>
    <xf numFmtId="4" fontId="1" fillId="0" borderId="0" xfId="3" applyNumberFormat="1" applyFont="1" applyFill="1"/>
    <xf numFmtId="4" fontId="8" fillId="0" borderId="60" xfId="3" applyNumberFormat="1" applyFont="1" applyFill="1" applyBorder="1" applyAlignment="1">
      <alignment horizontal="center"/>
    </xf>
    <xf numFmtId="4" fontId="8" fillId="7" borderId="36" xfId="3" applyNumberFormat="1" applyFont="1" applyFill="1" applyBorder="1" applyAlignment="1" applyProtection="1">
      <alignment horizontal="right"/>
    </xf>
    <xf numFmtId="164" fontId="1" fillId="0" borderId="0" xfId="7" applyFill="1" applyBorder="1"/>
    <xf numFmtId="4" fontId="8" fillId="7" borderId="33" xfId="3" applyNumberFormat="1" applyFont="1" applyFill="1" applyBorder="1" applyAlignment="1" applyProtection="1">
      <alignment horizontal="right"/>
    </xf>
    <xf numFmtId="4" fontId="1" fillId="0" borderId="60" xfId="3" applyNumberFormat="1" applyFont="1" applyFill="1" applyBorder="1" applyProtection="1">
      <protection locked="0"/>
    </xf>
    <xf numFmtId="0" fontId="8" fillId="0" borderId="0" xfId="3" applyFont="1" applyFill="1"/>
    <xf numFmtId="4" fontId="8" fillId="7" borderId="60" xfId="3" applyNumberFormat="1" applyFont="1" applyFill="1" applyBorder="1"/>
    <xf numFmtId="9" fontId="3" fillId="0" borderId="0" xfId="2" applyFill="1"/>
    <xf numFmtId="4" fontId="1" fillId="7" borderId="60" xfId="3" applyNumberFormat="1" applyFont="1" applyFill="1" applyBorder="1"/>
    <xf numFmtId="0" fontId="8" fillId="7" borderId="0" xfId="3" applyFont="1" applyFill="1"/>
    <xf numFmtId="10" fontId="3" fillId="0" borderId="0" xfId="2" applyNumberFormat="1" applyFill="1"/>
    <xf numFmtId="9" fontId="8" fillId="0" borderId="0" xfId="2" applyFont="1" applyFill="1"/>
    <xf numFmtId="164" fontId="8" fillId="0" borderId="0" xfId="7" applyFont="1" applyFill="1" applyBorder="1"/>
    <xf numFmtId="4" fontId="1" fillId="7" borderId="60" xfId="3" applyNumberFormat="1" applyFont="1" applyFill="1" applyBorder="1" applyProtection="1"/>
    <xf numFmtId="0" fontId="3" fillId="0" borderId="46" xfId="5" applyFont="1" applyFill="1" applyBorder="1" applyAlignment="1" applyProtection="1">
      <alignment vertical="center"/>
      <protection locked="0"/>
    </xf>
    <xf numFmtId="0" fontId="3" fillId="0" borderId="42" xfId="5" applyFont="1" applyFill="1" applyBorder="1" applyAlignment="1" applyProtection="1">
      <alignment vertical="center" wrapText="1"/>
      <protection locked="0"/>
    </xf>
    <xf numFmtId="164" fontId="3" fillId="6" borderId="42" xfId="1" applyFont="1" applyFill="1" applyBorder="1" applyAlignment="1" applyProtection="1"/>
    <xf numFmtId="164" fontId="3" fillId="0" borderId="42" xfId="1" applyFont="1" applyFill="1" applyBorder="1" applyAlignment="1" applyProtection="1">
      <protection locked="0"/>
    </xf>
    <xf numFmtId="164" fontId="3" fillId="0" borderId="43" xfId="1" applyFont="1" applyFill="1" applyBorder="1" applyAlignment="1" applyProtection="1">
      <protection locked="0"/>
    </xf>
    <xf numFmtId="4" fontId="3" fillId="0" borderId="60" xfId="3" applyNumberFormat="1" applyFont="1" applyFill="1" applyBorder="1"/>
    <xf numFmtId="0" fontId="8" fillId="7" borderId="60" xfId="3" applyNumberFormat="1" applyFont="1" applyFill="1" applyBorder="1"/>
    <xf numFmtId="0" fontId="1" fillId="0" borderId="0" xfId="7" applyNumberFormat="1" applyFill="1" applyBorder="1"/>
    <xf numFmtId="0" fontId="8" fillId="0" borderId="0" xfId="3" applyNumberFormat="1" applyFont="1" applyFill="1"/>
    <xf numFmtId="0" fontId="1" fillId="0" borderId="61" xfId="3" applyFont="1" applyFill="1" applyBorder="1" applyProtection="1">
      <protection locked="0"/>
    </xf>
    <xf numFmtId="0" fontId="0" fillId="0" borderId="0" xfId="0" applyFont="1" applyFill="1" applyAlignment="1">
      <alignment wrapText="1"/>
    </xf>
    <xf numFmtId="0" fontId="2" fillId="0" borderId="0" xfId="0" applyFont="1" applyFill="1" applyBorder="1" applyAlignment="1">
      <alignment horizontal="center"/>
    </xf>
    <xf numFmtId="0" fontId="5" fillId="0" borderId="0" xfId="0" applyFont="1" applyFill="1" applyBorder="1" applyAlignment="1">
      <alignment horizontal="center"/>
    </xf>
    <xf numFmtId="4" fontId="7" fillId="0" borderId="1" xfId="0" applyNumberFormat="1" applyFont="1" applyFill="1" applyBorder="1" applyAlignment="1">
      <alignment horizontal="center"/>
    </xf>
    <xf numFmtId="0" fontId="2" fillId="3" borderId="0" xfId="0" applyFont="1" applyFill="1" applyBorder="1" applyAlignment="1" applyProtection="1">
      <alignment horizontal="center"/>
    </xf>
    <xf numFmtId="0" fontId="2" fillId="3" borderId="0" xfId="0" applyFont="1" applyFill="1" applyBorder="1" applyAlignment="1">
      <alignment horizontal="center"/>
    </xf>
    <xf numFmtId="0" fontId="8" fillId="4" borderId="4" xfId="0" applyFont="1" applyFill="1" applyBorder="1" applyAlignment="1" applyProtection="1">
      <alignment horizontal="center"/>
    </xf>
    <xf numFmtId="0" fontId="21" fillId="0" borderId="0" xfId="4" applyFont="1" applyAlignment="1">
      <alignment horizontal="justify" vertical="distributed"/>
    </xf>
    <xf numFmtId="0" fontId="21" fillId="0" borderId="0" xfId="4" applyFont="1" applyAlignment="1">
      <alignment horizontal="justify" vertical="distributed" wrapText="1"/>
    </xf>
    <xf numFmtId="0" fontId="16" fillId="0" borderId="0" xfId="0" applyFont="1" applyAlignment="1">
      <alignment horizontal="center"/>
    </xf>
    <xf numFmtId="0" fontId="8" fillId="0" borderId="0" xfId="0" applyFont="1" applyAlignment="1">
      <alignment horizont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pplyAlignment="1">
      <alignment horizontal="center" vertical="center"/>
    </xf>
    <xf numFmtId="4" fontId="8" fillId="2" borderId="29" xfId="0" applyNumberFormat="1" applyFont="1" applyFill="1" applyBorder="1" applyAlignment="1" applyProtection="1">
      <alignment horizontal="center"/>
    </xf>
    <xf numFmtId="4" fontId="8" fillId="2" borderId="27" xfId="0" applyNumberFormat="1" applyFont="1" applyFill="1" applyBorder="1" applyAlignment="1" applyProtection="1">
      <alignment horizontal="center"/>
    </xf>
    <xf numFmtId="4" fontId="8" fillId="2" borderId="28" xfId="0" applyNumberFormat="1" applyFont="1" applyFill="1" applyBorder="1" applyAlignment="1" applyProtection="1">
      <alignment horizontal="center"/>
    </xf>
    <xf numFmtId="164" fontId="8" fillId="0" borderId="32" xfId="1" applyNumberFormat="1" applyFont="1" applyFill="1" applyBorder="1" applyAlignment="1" applyProtection="1">
      <alignment horizontal="center" wrapText="1"/>
      <protection locked="0"/>
    </xf>
    <xf numFmtId="164" fontId="8" fillId="0" borderId="35" xfId="1" applyNumberFormat="1" applyFont="1" applyFill="1" applyBorder="1" applyAlignment="1" applyProtection="1">
      <alignment horizontal="center" wrapText="1"/>
      <protection locked="0"/>
    </xf>
    <xf numFmtId="0" fontId="8"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xf>
    <xf numFmtId="0" fontId="8" fillId="0" borderId="24" xfId="5" applyFont="1" applyFill="1" applyBorder="1" applyAlignment="1" applyProtection="1">
      <alignment horizontal="center" wrapText="1"/>
      <protection locked="0"/>
    </xf>
    <xf numFmtId="0" fontId="8" fillId="0" borderId="30" xfId="5" applyFont="1" applyFill="1" applyBorder="1" applyAlignment="1" applyProtection="1">
      <alignment horizontal="center" wrapText="1"/>
      <protection locked="0"/>
    </xf>
    <xf numFmtId="0" fontId="8" fillId="0" borderId="25" xfId="5" applyFont="1" applyFill="1" applyBorder="1" applyAlignment="1" applyProtection="1">
      <alignment horizontal="center" wrapText="1"/>
      <protection locked="0"/>
    </xf>
    <xf numFmtId="0" fontId="8" fillId="0" borderId="31" xfId="5" applyFont="1" applyFill="1" applyBorder="1" applyAlignment="1" applyProtection="1">
      <alignment horizontal="center" wrapText="1"/>
      <protection locked="0"/>
    </xf>
    <xf numFmtId="0" fontId="8" fillId="2" borderId="26"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0" borderId="0" xfId="6" applyFont="1" applyFill="1" applyBorder="1" applyAlignment="1" applyProtection="1">
      <alignment horizontal="center"/>
      <protection locked="0"/>
    </xf>
    <xf numFmtId="0" fontId="8" fillId="0" borderId="53" xfId="5" applyFont="1" applyFill="1" applyBorder="1" applyAlignment="1" applyProtection="1">
      <alignment horizontal="center" wrapText="1"/>
      <protection locked="0"/>
    </xf>
    <xf numFmtId="0" fontId="8" fillId="0" borderId="50" xfId="5" applyFont="1" applyFill="1" applyBorder="1" applyAlignment="1" applyProtection="1">
      <alignment horizontal="center" wrapText="1"/>
      <protection locked="0"/>
    </xf>
    <xf numFmtId="0" fontId="8" fillId="0" borderId="54" xfId="5" applyFont="1" applyFill="1" applyBorder="1" applyAlignment="1" applyProtection="1">
      <alignment horizontal="center" wrapText="1"/>
      <protection locked="0"/>
    </xf>
    <xf numFmtId="164" fontId="8" fillId="2" borderId="26" xfId="1" applyFont="1" applyFill="1" applyBorder="1" applyAlignment="1" applyProtection="1">
      <alignment horizontal="center"/>
      <protection locked="0"/>
    </xf>
    <xf numFmtId="164" fontId="8" fillId="2" borderId="27" xfId="1" applyFont="1" applyFill="1" applyBorder="1" applyAlignment="1" applyProtection="1">
      <alignment horizontal="center"/>
      <protection locked="0"/>
    </xf>
    <xf numFmtId="164" fontId="8" fillId="2" borderId="28" xfId="1" applyFont="1" applyFill="1" applyBorder="1" applyAlignment="1" applyProtection="1">
      <alignment horizontal="center"/>
      <protection locked="0"/>
    </xf>
    <xf numFmtId="164" fontId="8" fillId="0" borderId="24" xfId="1" applyFont="1" applyFill="1" applyBorder="1" applyAlignment="1" applyProtection="1">
      <alignment horizontal="center" wrapText="1"/>
      <protection locked="0"/>
    </xf>
    <xf numFmtId="164" fontId="8" fillId="0" borderId="53" xfId="1" applyFont="1" applyFill="1" applyBorder="1" applyAlignment="1" applyProtection="1">
      <alignment horizontal="center" wrapText="1"/>
      <protection locked="0"/>
    </xf>
    <xf numFmtId="4" fontId="8" fillId="0" borderId="31" xfId="3" applyNumberFormat="1" applyFont="1" applyFill="1" applyBorder="1" applyAlignment="1" applyProtection="1">
      <alignment horizontal="center" wrapText="1"/>
    </xf>
    <xf numFmtId="4" fontId="8" fillId="0" borderId="33" xfId="3" applyNumberFormat="1" applyFont="1" applyFill="1" applyBorder="1" applyAlignment="1" applyProtection="1">
      <alignment horizontal="center"/>
    </xf>
    <xf numFmtId="0" fontId="8" fillId="0" borderId="0" xfId="4" applyFont="1" applyFill="1" applyBorder="1" applyAlignment="1" applyProtection="1">
      <alignment horizontal="center"/>
    </xf>
    <xf numFmtId="0" fontId="3" fillId="0" borderId="0" xfId="4"/>
    <xf numFmtId="0" fontId="11" fillId="0" borderId="0" xfId="4" applyFont="1" applyFill="1" applyBorder="1" applyAlignment="1" applyProtection="1">
      <alignment horizontal="center"/>
    </xf>
    <xf numFmtId="0" fontId="8" fillId="9" borderId="62" xfId="8" applyFont="1" applyFill="1" applyBorder="1" applyAlignment="1" applyProtection="1">
      <alignment horizontal="center" vertical="center" wrapText="1"/>
    </xf>
    <xf numFmtId="0" fontId="8" fillId="9" borderId="63" xfId="8" applyFont="1" applyFill="1" applyBorder="1" applyAlignment="1" applyProtection="1">
      <alignment horizontal="center" vertical="center" wrapText="1"/>
    </xf>
    <xf numFmtId="4" fontId="8" fillId="9" borderId="64" xfId="4" applyNumberFormat="1" applyFont="1" applyFill="1" applyBorder="1" applyAlignment="1">
      <alignment horizontal="center" vertical="center" wrapText="1"/>
    </xf>
    <xf numFmtId="4" fontId="8" fillId="9" borderId="17" xfId="4" applyNumberFormat="1" applyFont="1" applyFill="1" applyBorder="1" applyAlignment="1">
      <alignment horizontal="center" vertical="center" wrapText="1"/>
    </xf>
    <xf numFmtId="4" fontId="8" fillId="9" borderId="25" xfId="4" applyNumberFormat="1" applyFont="1" applyFill="1" applyBorder="1" applyAlignment="1">
      <alignment horizontal="center" vertical="top" wrapText="1"/>
    </xf>
    <xf numFmtId="164" fontId="8" fillId="9" borderId="62" xfId="1" applyFont="1" applyFill="1" applyBorder="1" applyAlignment="1" applyProtection="1">
      <alignment horizontal="center" vertical="top"/>
    </xf>
    <xf numFmtId="0" fontId="8" fillId="9" borderId="65" xfId="8" applyFont="1" applyFill="1" applyBorder="1" applyAlignment="1" applyProtection="1">
      <alignment horizontal="center" vertical="center" wrapText="1"/>
    </xf>
    <xf numFmtId="4" fontId="8" fillId="9" borderId="66" xfId="4" applyNumberFormat="1" applyFont="1" applyFill="1" applyBorder="1" applyAlignment="1">
      <alignment horizontal="center" vertical="center" wrapText="1"/>
    </xf>
    <xf numFmtId="4" fontId="8" fillId="9" borderId="19" xfId="4" applyNumberFormat="1" applyFont="1" applyFill="1" applyBorder="1" applyAlignment="1">
      <alignment horizontal="center" vertical="center" wrapText="1"/>
    </xf>
    <xf numFmtId="4" fontId="8" fillId="9" borderId="67" xfId="4" applyNumberFormat="1" applyFont="1" applyFill="1" applyBorder="1" applyAlignment="1">
      <alignment horizontal="center" vertical="top" wrapText="1"/>
    </xf>
    <xf numFmtId="164" fontId="8" fillId="9" borderId="65" xfId="1" applyFont="1" applyFill="1" applyBorder="1" applyAlignment="1" applyProtection="1">
      <alignment horizontal="center" vertical="top"/>
    </xf>
    <xf numFmtId="4" fontId="8" fillId="9" borderId="68" xfId="4" applyNumberFormat="1" applyFont="1" applyFill="1" applyBorder="1" applyAlignment="1">
      <alignment horizontal="center" vertical="center" wrapText="1"/>
    </xf>
    <xf numFmtId="4" fontId="8" fillId="9" borderId="22" xfId="4" applyNumberFormat="1" applyFont="1" applyFill="1" applyBorder="1" applyAlignment="1">
      <alignment horizontal="center" vertical="center" wrapText="1"/>
    </xf>
    <xf numFmtId="0" fontId="8" fillId="5" borderId="62" xfId="8" applyFont="1" applyFill="1" applyBorder="1" applyAlignment="1" applyProtection="1">
      <alignment horizontal="center" vertical="top" wrapText="1"/>
    </xf>
    <xf numFmtId="0" fontId="8" fillId="5" borderId="62" xfId="8" applyFont="1" applyFill="1" applyBorder="1" applyAlignment="1" applyProtection="1">
      <alignment horizontal="center" vertical="center" wrapText="1"/>
    </xf>
    <xf numFmtId="4" fontId="8" fillId="0" borderId="69" xfId="4" applyNumberFormat="1" applyFont="1" applyFill="1" applyBorder="1" applyAlignment="1" applyProtection="1">
      <alignment horizontal="left" vertical="top"/>
    </xf>
    <xf numFmtId="4" fontId="8" fillId="5" borderId="69" xfId="4" applyNumberFormat="1" applyFont="1" applyFill="1" applyBorder="1" applyAlignment="1" applyProtection="1">
      <alignment horizontal="left" vertical="top" wrapText="1"/>
      <protection locked="0"/>
    </xf>
    <xf numFmtId="4" fontId="8" fillId="5" borderId="70" xfId="4" applyNumberFormat="1" applyFont="1" applyFill="1" applyBorder="1" applyAlignment="1" applyProtection="1">
      <alignment horizontal="center" vertical="top" wrapText="1"/>
      <protection locked="0"/>
    </xf>
    <xf numFmtId="4" fontId="8" fillId="5" borderId="70" xfId="4" applyNumberFormat="1" applyFont="1" applyFill="1" applyBorder="1" applyAlignment="1" applyProtection="1">
      <alignment horizontal="justify" vertical="top" wrapText="1"/>
      <protection locked="0"/>
    </xf>
    <xf numFmtId="164" fontId="25" fillId="5" borderId="69" xfId="1" applyFont="1" applyFill="1" applyBorder="1" applyAlignment="1" applyProtection="1">
      <alignment horizontal="center" vertical="top" wrapText="1"/>
      <protection locked="0"/>
    </xf>
    <xf numFmtId="164" fontId="8" fillId="10" borderId="69" xfId="1" applyFont="1" applyFill="1" applyBorder="1" applyAlignment="1" applyProtection="1">
      <alignment horizontal="center" vertical="top" wrapText="1"/>
    </xf>
    <xf numFmtId="4" fontId="3" fillId="0" borderId="0" xfId="4" applyNumberFormat="1"/>
    <xf numFmtId="43" fontId="3" fillId="0" borderId="0" xfId="4" applyNumberFormat="1"/>
    <xf numFmtId="0" fontId="0" fillId="0" borderId="70" xfId="8" applyFont="1" applyFill="1" applyBorder="1" applyAlignment="1" applyProtection="1">
      <alignment horizontal="left" vertical="top"/>
    </xf>
    <xf numFmtId="0" fontId="0" fillId="0" borderId="70" xfId="8" applyFont="1" applyFill="1" applyBorder="1" applyAlignment="1" applyProtection="1">
      <alignment horizontal="left" vertical="top" wrapText="1"/>
      <protection locked="0"/>
    </xf>
    <xf numFmtId="0" fontId="0" fillId="0" borderId="70" xfId="8" applyFont="1" applyFill="1" applyBorder="1" applyAlignment="1" applyProtection="1">
      <alignment horizontal="center" vertical="top" wrapText="1"/>
      <protection locked="0"/>
    </xf>
    <xf numFmtId="0" fontId="0" fillId="0" borderId="70" xfId="8" applyFont="1" applyFill="1" applyBorder="1" applyAlignment="1" applyProtection="1">
      <alignment horizontal="justify" wrapText="1"/>
      <protection locked="0"/>
    </xf>
    <xf numFmtId="164" fontId="3" fillId="0" borderId="70" xfId="1" applyFill="1" applyBorder="1" applyAlignment="1" applyProtection="1">
      <alignment horizontal="center" vertical="top" wrapText="1"/>
      <protection locked="0"/>
    </xf>
    <xf numFmtId="164" fontId="3" fillId="0" borderId="70" xfId="1" applyFont="1" applyFill="1" applyBorder="1" applyAlignment="1" applyProtection="1">
      <alignment horizontal="center" vertical="top" wrapText="1"/>
    </xf>
    <xf numFmtId="0" fontId="8" fillId="6" borderId="39" xfId="4" applyFont="1" applyFill="1" applyBorder="1" applyAlignment="1" applyProtection="1">
      <alignment horizontal="left" vertical="top"/>
    </xf>
    <xf numFmtId="0" fontId="23" fillId="6" borderId="39" xfId="8" applyFont="1" applyFill="1" applyBorder="1" applyAlignment="1" applyProtection="1">
      <alignment horizontal="left" vertical="top" wrapText="1"/>
      <protection locked="0"/>
    </xf>
    <xf numFmtId="0" fontId="8" fillId="6" borderId="39" xfId="8" applyFont="1" applyFill="1" applyBorder="1" applyAlignment="1" applyProtection="1">
      <alignment horizontal="center" vertical="top" wrapText="1"/>
      <protection locked="0"/>
    </xf>
    <xf numFmtId="0" fontId="8" fillId="6" borderId="39" xfId="8" applyFont="1" applyFill="1" applyBorder="1" applyAlignment="1" applyProtection="1">
      <alignment horizontal="justify" vertical="top" wrapText="1"/>
      <protection locked="0"/>
    </xf>
    <xf numFmtId="164" fontId="3" fillId="6" borderId="39" xfId="1" applyFill="1" applyBorder="1" applyAlignment="1" applyProtection="1">
      <alignment vertical="top" wrapText="1"/>
      <protection locked="0"/>
    </xf>
    <xf numFmtId="164" fontId="8" fillId="6" borderId="39" xfId="1" applyFont="1" applyFill="1" applyBorder="1" applyAlignment="1" applyProtection="1">
      <alignment vertical="top"/>
    </xf>
    <xf numFmtId="0" fontId="8" fillId="0" borderId="71" xfId="4" applyFont="1" applyFill="1" applyBorder="1" applyAlignment="1" applyProtection="1">
      <alignment horizontal="left" vertical="top"/>
    </xf>
    <xf numFmtId="0" fontId="0" fillId="0" borderId="71" xfId="8" applyFont="1" applyFill="1" applyBorder="1" applyAlignment="1" applyProtection="1">
      <alignment horizontal="left" vertical="top" wrapText="1"/>
      <protection locked="0"/>
    </xf>
    <xf numFmtId="0" fontId="0" fillId="0" borderId="71" xfId="8" applyFont="1" applyFill="1" applyBorder="1" applyAlignment="1" applyProtection="1">
      <alignment horizontal="center" vertical="top" wrapText="1"/>
      <protection locked="0"/>
    </xf>
    <xf numFmtId="0" fontId="0" fillId="0" borderId="71" xfId="8" applyFont="1" applyFill="1" applyBorder="1" applyAlignment="1" applyProtection="1">
      <alignment horizontal="justify" vertical="top" wrapText="1"/>
      <protection locked="0"/>
    </xf>
    <xf numFmtId="164" fontId="3" fillId="0" borderId="71" xfId="1" applyFill="1" applyBorder="1" applyAlignment="1" applyProtection="1">
      <alignment horizontal="justify" vertical="top" wrapText="1"/>
      <protection locked="0"/>
    </xf>
    <xf numFmtId="164" fontId="3" fillId="0" borderId="71" xfId="1" applyFill="1" applyBorder="1" applyAlignment="1" applyProtection="1">
      <alignment vertical="top" wrapText="1"/>
    </xf>
    <xf numFmtId="0" fontId="3" fillId="0" borderId="70" xfId="4" applyFont="1" applyFill="1" applyBorder="1" applyAlignment="1" applyProtection="1">
      <alignment horizontal="left" vertical="top"/>
    </xf>
    <xf numFmtId="0" fontId="0" fillId="0" borderId="70" xfId="8" applyFont="1" applyFill="1" applyBorder="1" applyAlignment="1" applyProtection="1">
      <alignment horizontal="justify" vertical="top" wrapText="1"/>
      <protection locked="0"/>
    </xf>
    <xf numFmtId="164" fontId="3" fillId="0" borderId="70" xfId="1" applyFill="1" applyBorder="1" applyAlignment="1" applyProtection="1">
      <alignment horizontal="justify" vertical="top" wrapText="1"/>
      <protection locked="0"/>
    </xf>
    <xf numFmtId="164" fontId="3" fillId="0" borderId="70" xfId="1" applyFill="1" applyBorder="1" applyAlignment="1" applyProtection="1">
      <alignment horizontal="center" vertical="top" wrapText="1"/>
    </xf>
    <xf numFmtId="0" fontId="0" fillId="0" borderId="72" xfId="8" applyFont="1" applyFill="1" applyBorder="1" applyAlignment="1" applyProtection="1">
      <alignment horizontal="left" vertical="top"/>
      <protection locked="0"/>
    </xf>
    <xf numFmtId="0" fontId="0" fillId="0" borderId="72" xfId="8" applyFont="1" applyFill="1" applyBorder="1" applyAlignment="1" applyProtection="1">
      <alignment horizontal="left" vertical="top" wrapText="1"/>
      <protection locked="0"/>
    </xf>
    <xf numFmtId="0" fontId="0" fillId="0" borderId="72" xfId="8" applyFont="1" applyFill="1" applyBorder="1" applyAlignment="1" applyProtection="1">
      <alignment horizontal="center" vertical="top" wrapText="1"/>
      <protection locked="0"/>
    </xf>
    <xf numFmtId="0" fontId="0" fillId="0" borderId="72" xfId="8" applyFont="1" applyFill="1" applyBorder="1" applyAlignment="1" applyProtection="1">
      <alignment horizontal="justify" vertical="top" wrapText="1"/>
      <protection locked="0"/>
    </xf>
    <xf numFmtId="164" fontId="3" fillId="0" borderId="72" xfId="1" applyFill="1" applyBorder="1" applyAlignment="1" applyProtection="1">
      <alignment horizontal="justify" vertical="top" wrapText="1"/>
      <protection locked="0"/>
    </xf>
    <xf numFmtId="164" fontId="3" fillId="0" borderId="72" xfId="1" applyFill="1" applyBorder="1" applyAlignment="1" applyProtection="1">
      <alignment vertical="top" wrapText="1"/>
    </xf>
    <xf numFmtId="0" fontId="8" fillId="6" borderId="70" xfId="4" applyFont="1" applyFill="1" applyBorder="1" applyAlignment="1" applyProtection="1">
      <alignment horizontal="left" vertical="top"/>
    </xf>
    <xf numFmtId="0" fontId="23" fillId="6" borderId="70" xfId="8" applyFont="1" applyFill="1" applyBorder="1" applyAlignment="1" applyProtection="1">
      <alignment horizontal="left" vertical="top" wrapText="1"/>
      <protection locked="0"/>
    </xf>
    <xf numFmtId="0" fontId="23" fillId="6" borderId="70" xfId="8" applyFont="1" applyFill="1" applyBorder="1" applyAlignment="1" applyProtection="1">
      <alignment horizontal="justify" vertical="top" wrapText="1"/>
      <protection locked="0"/>
    </xf>
    <xf numFmtId="164" fontId="3" fillId="6" borderId="70" xfId="1" applyFill="1" applyBorder="1" applyAlignment="1" applyProtection="1">
      <alignment vertical="center" wrapText="1"/>
      <protection locked="0"/>
    </xf>
    <xf numFmtId="164" fontId="8" fillId="6" borderId="70" xfId="1" applyFont="1" applyFill="1" applyBorder="1" applyAlignment="1" applyProtection="1">
      <alignment vertical="center"/>
    </xf>
    <xf numFmtId="0" fontId="3" fillId="0" borderId="65" xfId="4" applyFont="1" applyFill="1" applyBorder="1" applyAlignment="1" applyProtection="1">
      <alignment horizontal="left" vertical="top"/>
    </xf>
    <xf numFmtId="0" fontId="0" fillId="0" borderId="65" xfId="8" applyFont="1" applyFill="1" applyBorder="1" applyAlignment="1" applyProtection="1">
      <alignment horizontal="left" vertical="top" wrapText="1"/>
      <protection locked="0"/>
    </xf>
    <xf numFmtId="0" fontId="0" fillId="0" borderId="65" xfId="8" applyFont="1" applyFill="1" applyBorder="1" applyAlignment="1" applyProtection="1">
      <alignment horizontal="center" vertical="top" wrapText="1"/>
      <protection locked="0"/>
    </xf>
    <xf numFmtId="0" fontId="0" fillId="0" borderId="65" xfId="8" applyFont="1" applyFill="1" applyBorder="1" applyAlignment="1" applyProtection="1">
      <alignment horizontal="justify" vertical="top" wrapText="1"/>
      <protection locked="0"/>
    </xf>
    <xf numFmtId="164" fontId="3" fillId="0" borderId="65" xfId="1" applyFill="1" applyBorder="1" applyAlignment="1" applyProtection="1">
      <alignment horizontal="justify" vertical="top" wrapText="1"/>
      <protection locked="0"/>
    </xf>
    <xf numFmtId="164" fontId="3" fillId="0" borderId="65" xfId="1" applyFill="1" applyBorder="1" applyAlignment="1" applyProtection="1">
      <alignment vertical="top" wrapText="1"/>
    </xf>
    <xf numFmtId="0" fontId="0" fillId="0" borderId="69" xfId="8" applyFont="1" applyFill="1" applyBorder="1" applyAlignment="1" applyProtection="1">
      <alignment horizontal="left" vertical="top"/>
      <protection locked="0"/>
    </xf>
    <xf numFmtId="164" fontId="3" fillId="0" borderId="71" xfId="1" applyFill="1" applyBorder="1" applyAlignment="1" applyProtection="1">
      <alignment horizontal="center" vertical="top" wrapText="1"/>
    </xf>
    <xf numFmtId="0" fontId="0" fillId="0" borderId="71" xfId="8" applyFont="1" applyFill="1" applyBorder="1" applyAlignment="1" applyProtection="1">
      <alignment horizontal="left" vertical="top"/>
      <protection locked="0"/>
    </xf>
    <xf numFmtId="0" fontId="0" fillId="0" borderId="72" xfId="8" applyFont="1" applyFill="1" applyBorder="1" applyAlignment="1" applyProtection="1">
      <alignment vertical="top" wrapText="1"/>
      <protection locked="0"/>
    </xf>
    <xf numFmtId="0" fontId="0" fillId="0" borderId="70" xfId="8" applyFont="1" applyFill="1" applyBorder="1" applyAlignment="1" applyProtection="1">
      <alignment horizontal="left" vertical="top"/>
      <protection locked="0"/>
    </xf>
    <xf numFmtId="0" fontId="0" fillId="0" borderId="70" xfId="8" applyFont="1" applyFill="1" applyBorder="1" applyAlignment="1" applyProtection="1">
      <alignment horizontal="left" vertical="top" wrapText="1"/>
      <protection locked="0"/>
    </xf>
    <xf numFmtId="164" fontId="0" fillId="0" borderId="70" xfId="1" applyFont="1" applyFill="1" applyBorder="1" applyAlignment="1" applyProtection="1">
      <alignment horizontal="justify" vertical="top" wrapText="1"/>
      <protection locked="0"/>
    </xf>
    <xf numFmtId="164" fontId="3" fillId="0" borderId="70" xfId="1" applyFill="1" applyBorder="1" applyAlignment="1" applyProtection="1">
      <alignment horizontal="center" vertical="top" wrapText="1"/>
    </xf>
    <xf numFmtId="4" fontId="3" fillId="0" borderId="73" xfId="4" applyNumberFormat="1" applyFont="1" applyFill="1" applyBorder="1" applyAlignment="1" applyProtection="1">
      <alignment vertical="top" wrapText="1"/>
      <protection locked="0"/>
    </xf>
    <xf numFmtId="0" fontId="0" fillId="0" borderId="70" xfId="8" applyFont="1" applyFill="1" applyBorder="1" applyAlignment="1" applyProtection="1">
      <alignment horizontal="left" vertical="top"/>
      <protection locked="0"/>
    </xf>
    <xf numFmtId="164" fontId="3" fillId="0" borderId="70" xfId="1" applyFill="1" applyBorder="1" applyAlignment="1" applyProtection="1">
      <alignment vertical="top" wrapText="1"/>
      <protection locked="0"/>
    </xf>
    <xf numFmtId="164" fontId="3" fillId="0" borderId="0" xfId="4" applyNumberFormat="1"/>
    <xf numFmtId="0" fontId="3" fillId="0" borderId="72" xfId="4" applyFont="1" applyFill="1" applyBorder="1" applyAlignment="1" applyProtection="1">
      <alignment horizontal="left" vertical="top"/>
    </xf>
    <xf numFmtId="0" fontId="0" fillId="0" borderId="72" xfId="8" applyFont="1" applyFill="1" applyBorder="1" applyAlignment="1" applyProtection="1">
      <alignment horizontal="center" vertical="top"/>
      <protection locked="0"/>
    </xf>
    <xf numFmtId="0" fontId="0" fillId="0" borderId="72" xfId="8" applyFont="1" applyFill="1" applyBorder="1" applyAlignment="1" applyProtection="1">
      <alignment horizontal="left" vertical="top" wrapText="1"/>
      <protection locked="0"/>
    </xf>
    <xf numFmtId="164" fontId="3" fillId="0" borderId="72" xfId="1" applyFill="1" applyBorder="1" applyAlignment="1" applyProtection="1">
      <alignment horizontal="center" vertical="top" wrapText="1"/>
    </xf>
    <xf numFmtId="0" fontId="0" fillId="0" borderId="71" xfId="8" applyFont="1" applyFill="1" applyBorder="1" applyAlignment="1" applyProtection="1">
      <alignment horizontal="center" vertical="top"/>
      <protection locked="0"/>
    </xf>
    <xf numFmtId="0" fontId="0" fillId="0" borderId="71" xfId="8" applyFont="1" applyFill="1" applyBorder="1" applyAlignment="1" applyProtection="1">
      <alignment horizontal="left" vertical="top" wrapText="1"/>
      <protection locked="0"/>
    </xf>
    <xf numFmtId="164" fontId="3" fillId="0" borderId="71" xfId="1" applyFill="1" applyBorder="1" applyAlignment="1" applyProtection="1">
      <alignment horizontal="center" vertical="top" wrapText="1"/>
    </xf>
    <xf numFmtId="164" fontId="3" fillId="0" borderId="70" xfId="1" applyFill="1" applyBorder="1" applyAlignment="1" applyProtection="1">
      <alignment vertical="top" wrapText="1"/>
    </xf>
    <xf numFmtId="0" fontId="8" fillId="6" borderId="70" xfId="8" applyFont="1" applyFill="1" applyBorder="1" applyAlignment="1" applyProtection="1">
      <alignment horizontal="center" vertical="top" wrapText="1"/>
      <protection locked="0"/>
    </xf>
    <xf numFmtId="0" fontId="8" fillId="6" borderId="70" xfId="8" applyFont="1" applyFill="1" applyBorder="1" applyAlignment="1" applyProtection="1">
      <alignment horizontal="justify" vertical="top" wrapText="1"/>
      <protection locked="0"/>
    </xf>
    <xf numFmtId="164" fontId="3" fillId="6" borderId="70" xfId="1" applyFill="1" applyBorder="1" applyAlignment="1" applyProtection="1">
      <alignment vertical="top" wrapText="1"/>
      <protection locked="0"/>
    </xf>
    <xf numFmtId="164" fontId="8" fillId="6" borderId="70" xfId="1" applyFont="1" applyFill="1" applyBorder="1" applyAlignment="1" applyProtection="1">
      <alignment vertical="top"/>
    </xf>
    <xf numFmtId="164" fontId="3" fillId="0" borderId="71" xfId="1" applyFill="1" applyBorder="1" applyAlignment="1" applyProtection="1">
      <alignment vertical="top" wrapText="1"/>
      <protection locked="0"/>
    </xf>
    <xf numFmtId="0" fontId="0" fillId="0" borderId="71" xfId="8" applyFont="1" applyFill="1" applyBorder="1" applyAlignment="1" applyProtection="1">
      <alignment horizontal="left" vertical="top"/>
      <protection locked="0"/>
    </xf>
    <xf numFmtId="164" fontId="0" fillId="0" borderId="70" xfId="1" applyFont="1" applyFill="1" applyBorder="1" applyAlignment="1" applyProtection="1">
      <alignment vertical="top" wrapText="1"/>
      <protection locked="0"/>
    </xf>
    <xf numFmtId="164" fontId="3" fillId="0" borderId="70" xfId="1" applyFont="1" applyFill="1" applyBorder="1" applyAlignment="1" applyProtection="1">
      <alignment horizontal="center" vertical="top" wrapText="1"/>
    </xf>
    <xf numFmtId="0" fontId="3" fillId="0" borderId="70" xfId="4" applyFont="1" applyFill="1" applyBorder="1" applyAlignment="1" applyProtection="1">
      <alignment horizontal="left" vertical="top"/>
    </xf>
    <xf numFmtId="0" fontId="3" fillId="0" borderId="71" xfId="4" applyFont="1" applyFill="1" applyBorder="1" applyAlignment="1" applyProtection="1">
      <alignment horizontal="left" vertical="top"/>
    </xf>
    <xf numFmtId="0" fontId="3" fillId="0" borderId="62" xfId="4" applyFont="1" applyFill="1" applyBorder="1" applyAlignment="1" applyProtection="1">
      <alignment horizontal="center" vertical="top"/>
    </xf>
    <xf numFmtId="0" fontId="0" fillId="0" borderId="62" xfId="8" applyFont="1" applyFill="1" applyBorder="1" applyAlignment="1" applyProtection="1">
      <alignment horizontal="center" vertical="top" wrapText="1"/>
      <protection locked="0"/>
    </xf>
    <xf numFmtId="164" fontId="3" fillId="0" borderId="71" xfId="1" applyFill="1" applyBorder="1" applyAlignment="1" applyProtection="1">
      <alignment horizontal="left" vertical="top" wrapText="1"/>
      <protection locked="0"/>
    </xf>
    <xf numFmtId="164" fontId="3" fillId="0" borderId="62" xfId="1" applyFill="1" applyBorder="1" applyAlignment="1" applyProtection="1">
      <alignment horizontal="center" vertical="top" wrapText="1"/>
    </xf>
    <xf numFmtId="0" fontId="3" fillId="0" borderId="65" xfId="4" applyFont="1" applyFill="1" applyBorder="1" applyAlignment="1" applyProtection="1">
      <alignment horizontal="center" vertical="top"/>
    </xf>
    <xf numFmtId="0" fontId="0" fillId="0" borderId="65" xfId="8" applyFont="1" applyFill="1" applyBorder="1" applyAlignment="1" applyProtection="1">
      <alignment horizontal="center" vertical="top" wrapText="1"/>
      <protection locked="0"/>
    </xf>
    <xf numFmtId="164" fontId="3" fillId="0" borderId="65" xfId="1" applyFill="1" applyBorder="1" applyAlignment="1" applyProtection="1">
      <alignment horizontal="center" vertical="top" wrapText="1"/>
    </xf>
    <xf numFmtId="0" fontId="3" fillId="0" borderId="71" xfId="4" applyFont="1" applyFill="1" applyBorder="1" applyAlignment="1" applyProtection="1">
      <alignment horizontal="center" vertical="top"/>
    </xf>
    <xf numFmtId="0" fontId="0" fillId="0" borderId="71" xfId="8" applyFont="1" applyFill="1" applyBorder="1" applyAlignment="1" applyProtection="1">
      <alignment horizontal="center" vertical="top" wrapText="1"/>
      <protection locked="0"/>
    </xf>
    <xf numFmtId="0" fontId="3" fillId="0" borderId="71" xfId="4" applyFont="1" applyFill="1" applyBorder="1" applyAlignment="1" applyProtection="1">
      <alignment horizontal="left" vertical="top"/>
    </xf>
    <xf numFmtId="0" fontId="3" fillId="5" borderId="60" xfId="4" applyFont="1" applyFill="1" applyBorder="1" applyAlignment="1" applyProtection="1">
      <alignment horizontal="left" vertical="top" wrapText="1"/>
      <protection locked="0"/>
    </xf>
    <xf numFmtId="0" fontId="0" fillId="0" borderId="74" xfId="8" applyFont="1" applyFill="1" applyBorder="1" applyAlignment="1" applyProtection="1">
      <alignment horizontal="left" vertical="top" wrapText="1"/>
      <protection locked="0"/>
    </xf>
    <xf numFmtId="164" fontId="3" fillId="0" borderId="72" xfId="1" applyFill="1" applyBorder="1" applyAlignment="1" applyProtection="1">
      <alignment horizontal="center" vertical="top" wrapText="1"/>
    </xf>
    <xf numFmtId="0" fontId="0" fillId="0" borderId="75" xfId="8" applyFont="1" applyFill="1" applyBorder="1" applyAlignment="1" applyProtection="1">
      <alignment horizontal="left" vertical="top"/>
    </xf>
    <xf numFmtId="0" fontId="0" fillId="0" borderId="75" xfId="8" applyFont="1" applyFill="1" applyBorder="1" applyAlignment="1" applyProtection="1">
      <alignment horizontal="left" vertical="top" wrapText="1"/>
      <protection locked="0"/>
    </xf>
    <xf numFmtId="0" fontId="0" fillId="0" borderId="75" xfId="8" applyFont="1" applyFill="1" applyBorder="1" applyAlignment="1" applyProtection="1">
      <alignment horizontal="center" vertical="top" wrapText="1"/>
      <protection locked="0"/>
    </xf>
    <xf numFmtId="0" fontId="0" fillId="0" borderId="75" xfId="8" applyFont="1" applyFill="1" applyBorder="1" applyAlignment="1" applyProtection="1">
      <alignment horizontal="justify" vertical="top" wrapText="1"/>
      <protection locked="0"/>
    </xf>
    <xf numFmtId="164" fontId="3" fillId="0" borderId="75" xfId="1" applyFill="1" applyBorder="1" applyAlignment="1" applyProtection="1">
      <alignment horizontal="justify" vertical="top" wrapText="1"/>
      <protection locked="0"/>
    </xf>
    <xf numFmtId="164" fontId="3" fillId="0" borderId="75" xfId="1" applyFill="1" applyBorder="1" applyAlignment="1" applyProtection="1">
      <alignment vertical="top" wrapText="1"/>
    </xf>
    <xf numFmtId="0" fontId="3" fillId="0" borderId="0" xfId="4" applyFont="1" applyFill="1" applyAlignment="1">
      <alignment horizontal="left" vertical="top"/>
    </xf>
    <xf numFmtId="0" fontId="3" fillId="0" borderId="0" xfId="4" applyFont="1" applyFill="1" applyAlignment="1">
      <alignment horizontal="left" vertical="top" wrapText="1"/>
    </xf>
    <xf numFmtId="0" fontId="3" fillId="0" borderId="0" xfId="4" applyFont="1" applyFill="1" applyAlignment="1">
      <alignment horizontal="center" vertical="top" wrapText="1"/>
    </xf>
    <xf numFmtId="0" fontId="3" fillId="0" borderId="0" xfId="4" applyFont="1" applyFill="1" applyAlignment="1">
      <alignment horizontal="justify" wrapText="1"/>
    </xf>
    <xf numFmtId="164" fontId="3" fillId="0" borderId="0" xfId="1" applyFill="1" applyAlignment="1">
      <alignment horizontal="center" vertical="top" wrapText="1"/>
    </xf>
    <xf numFmtId="164" fontId="3" fillId="0" borderId="0" xfId="1" applyFill="1" applyBorder="1" applyAlignment="1" applyProtection="1">
      <alignment horizontal="center" vertical="top"/>
    </xf>
    <xf numFmtId="4" fontId="8" fillId="0" borderId="69" xfId="4" applyNumberFormat="1" applyFont="1" applyFill="1" applyBorder="1" applyAlignment="1" applyProtection="1">
      <alignment horizontal="left" vertical="top" wrapText="1"/>
      <protection locked="0"/>
    </xf>
    <xf numFmtId="4" fontId="8" fillId="0" borderId="70" xfId="4" applyNumberFormat="1" applyFont="1" applyFill="1" applyBorder="1" applyAlignment="1" applyProtection="1">
      <alignment horizontal="center" vertical="top" wrapText="1"/>
      <protection locked="0"/>
    </xf>
    <xf numFmtId="4" fontId="8" fillId="0" borderId="70" xfId="4" applyNumberFormat="1" applyFont="1" applyFill="1" applyBorder="1" applyAlignment="1" applyProtection="1">
      <alignment horizontal="justify" vertical="top" wrapText="1"/>
      <protection locked="0"/>
    </xf>
    <xf numFmtId="164" fontId="26" fillId="0" borderId="69" xfId="1" applyFont="1" applyFill="1" applyBorder="1" applyAlignment="1" applyProtection="1">
      <alignment horizontal="justify" vertical="top" wrapText="1"/>
      <protection locked="0"/>
    </xf>
    <xf numFmtId="164" fontId="8" fillId="0" borderId="69" xfId="1" applyFont="1" applyFill="1" applyBorder="1" applyAlignment="1" applyProtection="1">
      <alignment vertical="top" wrapText="1"/>
    </xf>
    <xf numFmtId="164" fontId="3" fillId="0" borderId="70" xfId="1" applyFont="1" applyFill="1" applyBorder="1" applyAlignment="1" applyProtection="1">
      <alignment vertical="top" wrapText="1"/>
    </xf>
    <xf numFmtId="0" fontId="23" fillId="6" borderId="39" xfId="8" applyFont="1" applyFill="1" applyBorder="1" applyAlignment="1" applyProtection="1">
      <alignment horizontal="center" vertical="top" wrapText="1"/>
      <protection locked="0"/>
    </xf>
    <xf numFmtId="0" fontId="23" fillId="6" borderId="70" xfId="8" applyFont="1" applyFill="1" applyBorder="1" applyAlignment="1" applyProtection="1">
      <alignment horizontal="center" vertical="top" wrapText="1"/>
      <protection locked="0"/>
    </xf>
    <xf numFmtId="0" fontId="0" fillId="0" borderId="76" xfId="8" applyFont="1" applyFill="1" applyBorder="1" applyAlignment="1" applyProtection="1">
      <alignment horizontal="justify" vertical="top" wrapText="1"/>
      <protection locked="0"/>
    </xf>
    <xf numFmtId="0" fontId="0" fillId="0" borderId="77" xfId="8" applyFont="1" applyFill="1" applyBorder="1" applyAlignment="1" applyProtection="1">
      <alignment horizontal="justify" vertical="top" wrapText="1"/>
      <protection locked="0"/>
    </xf>
    <xf numFmtId="164" fontId="3" fillId="6" borderId="39" xfId="1" applyFill="1" applyBorder="1" applyAlignment="1" applyProtection="1">
      <alignment vertical="center" wrapText="1"/>
      <protection locked="0"/>
    </xf>
    <xf numFmtId="164" fontId="3" fillId="0" borderId="65" xfId="1" applyFill="1" applyBorder="1" applyAlignment="1" applyProtection="1">
      <alignment horizontal="justify" vertical="center" wrapText="1"/>
      <protection locked="0"/>
    </xf>
    <xf numFmtId="164" fontId="0" fillId="0" borderId="70" xfId="1" applyFont="1" applyFill="1" applyBorder="1" applyAlignment="1" applyProtection="1">
      <alignment horizontal="center" vertical="top" wrapText="1"/>
    </xf>
    <xf numFmtId="0" fontId="0" fillId="0" borderId="69" xfId="8" applyFont="1" applyFill="1" applyBorder="1" applyAlignment="1" applyProtection="1">
      <alignment horizontal="left" vertical="top"/>
      <protection locked="0"/>
    </xf>
    <xf numFmtId="9" fontId="3" fillId="0" borderId="0" xfId="9"/>
    <xf numFmtId="0" fontId="0" fillId="0" borderId="72" xfId="8" applyFont="1" applyFill="1" applyBorder="1" applyAlignment="1" applyProtection="1">
      <alignment horizontal="left" vertical="top"/>
      <protection locked="0"/>
    </xf>
    <xf numFmtId="0" fontId="0" fillId="0" borderId="71" xfId="8" applyFont="1" applyFill="1" applyBorder="1" applyAlignment="1" applyProtection="1">
      <alignment vertical="top" wrapText="1"/>
      <protection locked="0"/>
    </xf>
    <xf numFmtId="0" fontId="23" fillId="0" borderId="72" xfId="8" applyFont="1" applyFill="1" applyBorder="1" applyAlignment="1" applyProtection="1">
      <alignment horizontal="left" vertical="top" wrapText="1"/>
      <protection locked="0"/>
    </xf>
    <xf numFmtId="0" fontId="23" fillId="0" borderId="72" xfId="8" applyFont="1" applyFill="1" applyBorder="1" applyAlignment="1" applyProtection="1">
      <alignment horizontal="center" vertical="top" wrapText="1"/>
      <protection locked="0"/>
    </xf>
    <xf numFmtId="0" fontId="8" fillId="0" borderId="72" xfId="8" applyFont="1" applyFill="1" applyBorder="1" applyAlignment="1" applyProtection="1">
      <alignment horizontal="justify" vertical="top" wrapText="1"/>
      <protection locked="0"/>
    </xf>
    <xf numFmtId="0" fontId="3" fillId="0" borderId="75" xfId="4" applyFont="1" applyFill="1" applyBorder="1" applyAlignment="1" applyProtection="1">
      <alignment horizontal="left" vertical="top"/>
    </xf>
    <xf numFmtId="164" fontId="3" fillId="0" borderId="75" xfId="1" applyFill="1" applyBorder="1" applyAlignment="1" applyProtection="1">
      <alignment horizontal="justify" vertical="center" wrapText="1"/>
      <protection locked="0"/>
    </xf>
    <xf numFmtId="164" fontId="3" fillId="0" borderId="0" xfId="1" applyFill="1" applyAlignment="1">
      <alignment horizontal="justify" vertical="top" wrapText="1"/>
    </xf>
    <xf numFmtId="164" fontId="3" fillId="0" borderId="0" xfId="1" applyFill="1" applyBorder="1" applyAlignment="1" applyProtection="1">
      <alignment vertical="top"/>
    </xf>
  </cellXfs>
  <cellStyles count="10">
    <cellStyle name="Millares" xfId="1" builtinId="3"/>
    <cellStyle name="Millares_Cuadros comparativos CON 15 MILL MAPI ctas se" xfId="7"/>
    <cellStyle name="Normal" xfId="0" builtinId="0"/>
    <cellStyle name="Normal 2" xfId="4"/>
    <cellStyle name="Normal_Anexo 9 POI 2009 Conservación 25 04" xfId="5"/>
    <cellStyle name="Normal_Anexo 9 POI 2009 Conservación 25 04 2" xfId="8"/>
    <cellStyle name="Normal_Cuadros comparativos CON 15 MILL MAPI ctas se" xfId="3"/>
    <cellStyle name="Normal_Proyección Transferencia 2010" xfId="6"/>
    <cellStyle name="Porcentaje" xfId="2" builtinId="5"/>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2074319</xdr:colOff>
      <xdr:row>3</xdr:row>
      <xdr:rowOff>213171</xdr:rowOff>
    </xdr:to>
    <xdr:pic>
      <xdr:nvPicPr>
        <xdr:cNvPr id="2" name="Imagen 1"/>
        <xdr:cNvPicPr>
          <a:picLocks noChangeAspect="1"/>
        </xdr:cNvPicPr>
      </xdr:nvPicPr>
      <xdr:blipFill>
        <a:blip xmlns:r="http://schemas.openxmlformats.org/officeDocument/2006/relationships" r:embed="rId1"/>
        <a:stretch>
          <a:fillRect/>
        </a:stretch>
      </xdr:blipFill>
      <xdr:spPr>
        <a:xfrm>
          <a:off x="38100" y="0"/>
          <a:ext cx="2626769" cy="1013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2038145</xdr:colOff>
      <xdr:row>3</xdr:row>
      <xdr:rowOff>210602</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2628695" cy="10107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lvarez/Mis%20documentos/2010/ANTEPROYECTO%202010/Anexo%209%20POI%20-%202010%20Direcci&#243;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adros/Presupuesto%202020%20JA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DSANAB~1.GRA/CONFIG~1/Temp/Cuadro%20Compara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adros/Presupuesto%202020%20Justificaciones%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_"/>
      <sheetName val="MO_PND"/>
      <sheetName val="Bco_ proyect"/>
      <sheetName val="PE 06_10"/>
      <sheetName val="MAPI"/>
      <sheetName val="ASCI _ SEVRI 08"/>
      <sheetName val="SEVRI07"/>
      <sheetName val="Datos"/>
      <sheetName val="Plan CIMAD"/>
      <sheetName val="PEP1"/>
      <sheetName val="Anexo1"/>
      <sheetName val="PRO 1%"/>
      <sheetName val="PEP2"/>
      <sheetName val="Anexo2"/>
      <sheetName val="PRO 2 %"/>
      <sheetName val="PEP3"/>
      <sheetName val="Anexo3"/>
      <sheetName val="PRO 3%"/>
      <sheetName val="verif"/>
      <sheetName val="Clasif_ Gto_"/>
      <sheetName val="Justif_"/>
      <sheetName val="Proy Inv"/>
      <sheetName val="Presupuesto 1"/>
      <sheetName val="Presupuesto 1-2"/>
      <sheetName val="Presupuesto 2"/>
      <sheetName val="Presupuesto 2-2"/>
      <sheetName val="Presupuesto 3"/>
      <sheetName val="Presupuesto 3-2"/>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origen y aplicación "/>
      <sheetName val="ingresos 2020 colones "/>
      <sheetName val="ingresos 2020 miles"/>
      <sheetName val="Evolución del gto"/>
      <sheetName val="Clasificador Economico"/>
      <sheetName val="analisis vertical"/>
      <sheetName val="analisis horizontal"/>
      <sheetName val="comparativo ingresos"/>
      <sheetName val="ingresos efectivos"/>
      <sheetName val="presupuesto global"/>
      <sheetName val="presupuesto global millones "/>
      <sheetName val="Clasificador Economico miles"/>
      <sheetName val="Transferencia"/>
      <sheetName val="Ing. propios"/>
      <sheetName val="flujo"/>
      <sheetName val="Informaciom"/>
      <sheetName val="límite gasto"/>
    </sheetNames>
    <sheetDataSet>
      <sheetData sheetId="0">
        <row r="4">
          <cell r="I4">
            <v>733267625.84450674</v>
          </cell>
          <cell r="J4">
            <v>838020143.73086512</v>
          </cell>
          <cell r="K4">
            <v>523762589.83179063</v>
          </cell>
        </row>
        <row r="5">
          <cell r="I5">
            <v>60930000</v>
          </cell>
          <cell r="J5">
            <v>57074354.859999999</v>
          </cell>
          <cell r="K5">
            <v>93143092.730000004</v>
          </cell>
        </row>
        <row r="6">
          <cell r="I6">
            <v>5823193</v>
          </cell>
          <cell r="J6">
            <v>776000</v>
          </cell>
          <cell r="K6">
            <v>9303000</v>
          </cell>
        </row>
        <row r="7">
          <cell r="I7">
            <v>0</v>
          </cell>
          <cell r="J7">
            <v>0</v>
          </cell>
          <cell r="K7">
            <v>0</v>
          </cell>
        </row>
        <row r="8">
          <cell r="I8">
            <v>0</v>
          </cell>
          <cell r="J8">
            <v>8400000</v>
          </cell>
          <cell r="K8">
            <v>0</v>
          </cell>
        </row>
        <row r="14">
          <cell r="J14">
            <v>2162873.2799999998</v>
          </cell>
          <cell r="K14">
            <v>0</v>
          </cell>
        </row>
        <row r="15">
          <cell r="I15">
            <v>423334948.67000002</v>
          </cell>
          <cell r="J15">
            <v>145810376.62</v>
          </cell>
          <cell r="K15">
            <v>130950103.43000001</v>
          </cell>
        </row>
        <row r="16">
          <cell r="I16">
            <v>6492000</v>
          </cell>
          <cell r="J16">
            <v>0</v>
          </cell>
          <cell r="K16">
            <v>5480000</v>
          </cell>
        </row>
        <row r="17">
          <cell r="I17">
            <v>174555900</v>
          </cell>
          <cell r="J17">
            <v>136697500</v>
          </cell>
          <cell r="K17">
            <v>28694000</v>
          </cell>
        </row>
      </sheetData>
      <sheetData sheetId="1"/>
      <sheetData sheetId="2"/>
      <sheetData sheetId="3">
        <row r="2">
          <cell r="A2" t="str">
            <v>PRESUPUESTO ORDINARIO 2020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ransferencia"/>
      <sheetName val="Comparativo"/>
      <sheetName val="TRANSFERENCIA"/>
      <sheetName val="MAPI"/>
      <sheetName val="Cálculos"/>
      <sheetName val="Composición Presupuesto"/>
    </sheetNames>
    <sheetDataSet>
      <sheetData sheetId="0" refreshError="1"/>
      <sheetData sheetId="1" refreshError="1">
        <row r="8">
          <cell r="D8">
            <v>1232479706.0021439</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lobal"/>
      <sheetName val="Transferencia "/>
      <sheetName val="Ing. propios"/>
      <sheetName val="Ing.Propios Just"/>
      <sheetName val="Transferencia Jus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47"/>
  <sheetViews>
    <sheetView zoomScaleNormal="100" workbookViewId="0">
      <selection activeCell="B23" sqref="B23"/>
    </sheetView>
  </sheetViews>
  <sheetFormatPr baseColWidth="10" defaultRowHeight="12.75"/>
  <cols>
    <col min="1" max="1" width="28.140625" style="27" bestFit="1" customWidth="1"/>
    <col min="2" max="2" width="15.85546875" style="27" bestFit="1" customWidth="1"/>
    <col min="3" max="3" width="3.7109375" style="27" customWidth="1"/>
    <col min="4" max="4" width="21.85546875" style="27" bestFit="1" customWidth="1"/>
    <col min="5" max="5" width="3" style="27" customWidth="1"/>
    <col min="6" max="6" width="15.85546875" style="23" bestFit="1" customWidth="1"/>
    <col min="7" max="7" width="16.28515625" style="23" bestFit="1" customWidth="1"/>
    <col min="8" max="8" width="16.140625" style="23" bestFit="1" customWidth="1"/>
    <col min="9" max="9" width="18" style="23" bestFit="1" customWidth="1"/>
    <col min="10" max="10" width="17.5703125" style="1" customWidth="1"/>
    <col min="11" max="11" width="16.7109375" style="1" customWidth="1"/>
    <col min="12" max="17" width="11.42578125" style="1"/>
  </cols>
  <sheetData>
    <row r="1" spans="1:17" ht="20.25" customHeight="1">
      <c r="A1" s="226" t="s">
        <v>0</v>
      </c>
      <c r="B1" s="226"/>
      <c r="C1" s="226"/>
      <c r="D1" s="226"/>
      <c r="E1" s="226"/>
      <c r="F1" s="226"/>
      <c r="G1" s="226"/>
      <c r="H1" s="226"/>
      <c r="I1" s="226"/>
    </row>
    <row r="2" spans="1:17" ht="15.75">
      <c r="A2" s="226" t="s">
        <v>1</v>
      </c>
      <c r="B2" s="226"/>
      <c r="C2" s="226"/>
      <c r="D2" s="226"/>
      <c r="E2" s="226"/>
      <c r="F2" s="226"/>
      <c r="G2" s="226"/>
      <c r="H2" s="226"/>
      <c r="I2" s="226"/>
    </row>
    <row r="3" spans="1:17" ht="15.75">
      <c r="A3" s="226" t="str">
        <f>+'presupuesto global'!A2:F2</f>
        <v>PRESUPUESTO ORDINARIO 2020</v>
      </c>
      <c r="B3" s="226"/>
      <c r="C3" s="226"/>
      <c r="D3" s="226"/>
      <c r="E3" s="226"/>
      <c r="F3" s="226"/>
      <c r="G3" s="226"/>
      <c r="H3" s="226"/>
      <c r="I3" s="226"/>
    </row>
    <row r="4" spans="1:17" ht="16.5">
      <c r="A4" s="227" t="s">
        <v>2</v>
      </c>
      <c r="B4" s="227"/>
      <c r="C4" s="227"/>
      <c r="D4" s="227"/>
      <c r="E4" s="227"/>
      <c r="F4" s="227"/>
      <c r="G4" s="227"/>
      <c r="H4" s="227"/>
      <c r="I4" s="227"/>
    </row>
    <row r="5" spans="1:17" ht="13.5">
      <c r="A5" s="2"/>
      <c r="B5" s="3"/>
      <c r="C5" s="2"/>
      <c r="D5" s="2"/>
      <c r="E5" s="2"/>
      <c r="F5" s="4"/>
      <c r="G5" s="4"/>
      <c r="H5" s="4"/>
      <c r="I5" s="5"/>
    </row>
    <row r="6" spans="1:17">
      <c r="A6" s="6" t="s">
        <v>3</v>
      </c>
      <c r="B6" s="6"/>
      <c r="C6" s="6"/>
      <c r="D6" s="6"/>
      <c r="E6" s="6"/>
      <c r="F6" s="5"/>
      <c r="G6" s="5"/>
      <c r="H6" s="5"/>
      <c r="I6" s="5"/>
    </row>
    <row r="7" spans="1:17" ht="13.5" thickBot="1">
      <c r="A7" s="228" t="s">
        <v>4</v>
      </c>
      <c r="B7" s="228"/>
      <c r="C7" s="7"/>
      <c r="D7" s="228" t="s">
        <v>5</v>
      </c>
      <c r="E7" s="228"/>
      <c r="F7" s="228"/>
      <c r="G7" s="228"/>
      <c r="H7" s="228"/>
      <c r="I7" s="228"/>
    </row>
    <row r="8" spans="1:17" ht="7.5" customHeight="1">
      <c r="A8" s="8"/>
      <c r="B8" s="8"/>
      <c r="C8" s="9"/>
      <c r="D8" s="8"/>
      <c r="E8" s="8"/>
      <c r="F8" s="10"/>
      <c r="G8" s="10"/>
      <c r="H8" s="10"/>
      <c r="I8" s="10"/>
    </row>
    <row r="9" spans="1:17">
      <c r="A9" s="11"/>
      <c r="B9" s="11"/>
      <c r="C9" s="3"/>
      <c r="D9" s="11"/>
      <c r="E9" s="11"/>
      <c r="F9" s="12" t="s">
        <v>6</v>
      </c>
      <c r="G9" s="12" t="s">
        <v>6</v>
      </c>
      <c r="H9" s="12" t="s">
        <v>7</v>
      </c>
      <c r="I9" s="12"/>
    </row>
    <row r="10" spans="1:17">
      <c r="A10" s="11" t="s">
        <v>8</v>
      </c>
      <c r="B10" s="11" t="s">
        <v>9</v>
      </c>
      <c r="C10" s="3"/>
      <c r="D10" s="11" t="s">
        <v>8</v>
      </c>
      <c r="E10" s="13"/>
      <c r="F10" s="12" t="s">
        <v>10</v>
      </c>
      <c r="G10" s="12" t="s">
        <v>11</v>
      </c>
      <c r="H10" s="12" t="s">
        <v>12</v>
      </c>
      <c r="I10" s="12" t="s">
        <v>13</v>
      </c>
    </row>
    <row r="11" spans="1:17">
      <c r="A11" s="14"/>
      <c r="B11" s="15"/>
      <c r="C11" s="15"/>
      <c r="D11" s="14"/>
      <c r="E11" s="14"/>
      <c r="F11" s="16"/>
      <c r="G11" s="16"/>
      <c r="H11" s="16"/>
      <c r="I11" s="16"/>
      <c r="J11" s="16"/>
    </row>
    <row r="12" spans="1:17" s="22" customFormat="1">
      <c r="A12" s="17" t="s">
        <v>14</v>
      </c>
      <c r="B12" s="18">
        <f>+B14+B18+B22</f>
        <v>3118154302</v>
      </c>
      <c r="C12" s="19"/>
      <c r="D12" s="17"/>
      <c r="E12" s="17"/>
      <c r="F12" s="20" t="s">
        <v>3</v>
      </c>
      <c r="G12" s="20"/>
      <c r="H12" s="20"/>
      <c r="I12" s="20"/>
      <c r="J12" s="21"/>
      <c r="K12" s="21"/>
      <c r="L12" s="21"/>
      <c r="M12" s="21"/>
      <c r="N12" s="21"/>
      <c r="O12" s="21"/>
      <c r="P12" s="21"/>
      <c r="Q12" s="21"/>
    </row>
    <row r="13" spans="1:17">
      <c r="A13" s="14"/>
      <c r="B13" s="5"/>
      <c r="C13" s="15"/>
      <c r="D13" s="14"/>
      <c r="E13" s="14"/>
      <c r="F13" s="16"/>
      <c r="G13" s="16"/>
      <c r="H13" s="16"/>
      <c r="I13" s="16"/>
      <c r="J13" s="23"/>
      <c r="K13" s="23"/>
      <c r="L13" s="23"/>
    </row>
    <row r="14" spans="1:17" s="26" customFormat="1" ht="12">
      <c r="A14" s="14" t="s">
        <v>15</v>
      </c>
      <c r="B14" s="24">
        <f>+'ingresos 2020 colones '!L9</f>
        <v>71685248.700000003</v>
      </c>
      <c r="C14" s="25"/>
      <c r="D14" s="14" t="s">
        <v>16</v>
      </c>
      <c r="E14" s="14"/>
      <c r="F14" s="16"/>
      <c r="G14" s="16">
        <f>+[2]Hoja1!J14</f>
        <v>2162873.2799999998</v>
      </c>
      <c r="H14" s="16">
        <f>+[2]Hoja1!K14</f>
        <v>0</v>
      </c>
      <c r="I14" s="20">
        <f>SUM(F14:H14)</f>
        <v>2162873.2799999998</v>
      </c>
      <c r="J14" s="23" t="s">
        <v>17</v>
      </c>
      <c r="K14" s="5"/>
      <c r="L14" s="23"/>
      <c r="M14" s="1"/>
      <c r="N14" s="1"/>
      <c r="O14" s="1"/>
      <c r="P14" s="1"/>
      <c r="Q14" s="1"/>
    </row>
    <row r="15" spans="1:17" s="26" customFormat="1" ht="12">
      <c r="A15" s="14"/>
      <c r="B15" s="24"/>
      <c r="C15" s="25"/>
      <c r="D15" s="14" t="s">
        <v>18</v>
      </c>
      <c r="E15" s="14"/>
      <c r="F15" s="16">
        <f>+[2]Hoja1!I15</f>
        <v>423334948.67000002</v>
      </c>
      <c r="G15" s="16">
        <f>+[2]Hoja1!J15</f>
        <v>145810376.62</v>
      </c>
      <c r="H15" s="16">
        <f>+[2]Hoja1!K15</f>
        <v>130950103.43000001</v>
      </c>
      <c r="I15" s="20">
        <f>SUM(F15:H15)</f>
        <v>700095428.72000003</v>
      </c>
      <c r="J15" s="23"/>
      <c r="K15" s="5"/>
      <c r="L15" s="23"/>
      <c r="M15" s="1"/>
      <c r="N15" s="1"/>
      <c r="O15" s="1"/>
      <c r="P15" s="1"/>
      <c r="Q15" s="1"/>
    </row>
    <row r="16" spans="1:17" s="26" customFormat="1" ht="12">
      <c r="A16" s="14"/>
      <c r="B16" s="5"/>
      <c r="C16" s="15"/>
      <c r="D16" s="14" t="s">
        <v>19</v>
      </c>
      <c r="E16" s="14"/>
      <c r="F16" s="16">
        <f>+[2]Hoja1!I16</f>
        <v>6492000</v>
      </c>
      <c r="G16" s="16">
        <f>+[2]Hoja1!J16</f>
        <v>0</v>
      </c>
      <c r="H16" s="16">
        <f>+[2]Hoja1!K16</f>
        <v>5480000</v>
      </c>
      <c r="I16" s="20">
        <f>SUM(F16:H16)</f>
        <v>11972000</v>
      </c>
      <c r="J16" s="23"/>
      <c r="K16" s="5"/>
      <c r="L16" s="23"/>
      <c r="M16" s="1"/>
      <c r="N16" s="1"/>
      <c r="O16" s="1"/>
      <c r="P16" s="1"/>
      <c r="Q16" s="1"/>
    </row>
    <row r="17" spans="1:17" s="26" customFormat="1" ht="12">
      <c r="A17" s="14"/>
      <c r="B17" s="5"/>
      <c r="C17" s="15"/>
      <c r="D17" s="14" t="s">
        <v>20</v>
      </c>
      <c r="E17" s="14"/>
      <c r="F17" s="16">
        <f>[2]Hoja1!I17-F32</f>
        <v>40695000</v>
      </c>
      <c r="G17" s="16">
        <f>[2]Hoja1!J17-G32</f>
        <v>2836600</v>
      </c>
      <c r="H17" s="16">
        <f>[2]Hoja1!K17</f>
        <v>28694000</v>
      </c>
      <c r="I17" s="20">
        <f>SUM(F17:H17)</f>
        <v>72225600</v>
      </c>
      <c r="J17" s="23">
        <f>+I17+I32</f>
        <v>339947400</v>
      </c>
      <c r="K17" s="5"/>
      <c r="L17" s="23"/>
      <c r="M17" s="1"/>
      <c r="N17" s="1"/>
      <c r="O17" s="1"/>
      <c r="P17" s="1"/>
      <c r="Q17" s="1"/>
    </row>
    <row r="18" spans="1:17" s="26" customFormat="1" ht="12">
      <c r="A18" s="14" t="s">
        <v>21</v>
      </c>
      <c r="B18" s="24">
        <f>+'ingresos 2020 colones '!L16</f>
        <v>653369053.29999995</v>
      </c>
      <c r="C18" s="15"/>
      <c r="D18" s="14" t="s">
        <v>22</v>
      </c>
      <c r="E18" s="14"/>
      <c r="F18" s="16">
        <f>+'Ing. propios'!D205</f>
        <v>0</v>
      </c>
      <c r="G18" s="16">
        <f>+'Ing. propios'!E205</f>
        <v>1198400</v>
      </c>
      <c r="H18" s="16">
        <f>+'Ing. propios'!F205</f>
        <v>0</v>
      </c>
      <c r="I18" s="20">
        <f>SUM(F18:H18)</f>
        <v>1198400</v>
      </c>
      <c r="J18" s="23"/>
      <c r="K18" s="5"/>
      <c r="L18" s="23"/>
      <c r="M18" s="1"/>
      <c r="N18" s="1"/>
      <c r="O18" s="1"/>
      <c r="P18" s="1"/>
      <c r="Q18" s="1"/>
    </row>
    <row r="19" spans="1:17" s="26" customFormat="1" ht="12">
      <c r="A19" s="14"/>
      <c r="B19" s="5"/>
      <c r="C19" s="15"/>
      <c r="D19" s="14"/>
      <c r="E19" s="14"/>
      <c r="F19" s="16"/>
      <c r="G19" s="16"/>
      <c r="H19" s="16"/>
      <c r="I19" s="16"/>
      <c r="J19" s="23"/>
      <c r="K19" s="5">
        <f>SUM(I14:I18)</f>
        <v>787654302</v>
      </c>
      <c r="L19" s="23"/>
      <c r="M19" s="1"/>
      <c r="N19" s="1"/>
      <c r="O19" s="1"/>
      <c r="P19" s="1"/>
      <c r="Q19" s="1"/>
    </row>
    <row r="20" spans="1:17" s="26" customFormat="1" ht="12">
      <c r="A20" s="14"/>
      <c r="B20" s="5"/>
      <c r="C20" s="15"/>
      <c r="D20" s="27"/>
      <c r="E20" s="27"/>
      <c r="F20" s="23"/>
      <c r="G20" s="23"/>
      <c r="H20" s="23"/>
      <c r="I20" s="23"/>
      <c r="J20" s="23"/>
      <c r="K20" s="23">
        <f>+K19-B14-B18</f>
        <v>62600000</v>
      </c>
      <c r="L20" s="23"/>
      <c r="M20" s="1"/>
      <c r="N20" s="1"/>
      <c r="O20" s="1"/>
      <c r="P20" s="1"/>
      <c r="Q20" s="1"/>
    </row>
    <row r="21" spans="1:17" s="26" customFormat="1" ht="12">
      <c r="A21" s="14"/>
      <c r="B21" s="5"/>
      <c r="C21" s="15"/>
      <c r="D21" s="27"/>
      <c r="E21" s="27"/>
      <c r="F21" s="23"/>
      <c r="G21" s="23"/>
      <c r="H21" s="23"/>
      <c r="I21" s="16"/>
      <c r="J21" s="23"/>
      <c r="K21" s="23"/>
      <c r="L21" s="23"/>
      <c r="M21" s="1"/>
      <c r="N21" s="1"/>
      <c r="O21" s="1"/>
      <c r="P21" s="1"/>
      <c r="Q21" s="1"/>
    </row>
    <row r="22" spans="1:17" s="26" customFormat="1" ht="12">
      <c r="A22" s="14" t="s">
        <v>22</v>
      </c>
      <c r="B22" s="24">
        <f>+'ingresos 2020 colones '!M31</f>
        <v>2393100000</v>
      </c>
      <c r="C22" s="15"/>
      <c r="D22" s="14" t="s">
        <v>16</v>
      </c>
      <c r="E22" s="14"/>
      <c r="F22" s="23">
        <f>+[2]Hoja1!I4</f>
        <v>733267625.84450674</v>
      </c>
      <c r="G22" s="23">
        <f>+[2]Hoja1!J4</f>
        <v>838020143.73086512</v>
      </c>
      <c r="H22" s="23">
        <f>+[2]Hoja1!K4</f>
        <v>523762589.83179063</v>
      </c>
      <c r="I22" s="20">
        <f>SUM(F22:H22)</f>
        <v>2095050359.4071624</v>
      </c>
      <c r="J22" s="23" t="s">
        <v>23</v>
      </c>
      <c r="K22" s="23"/>
      <c r="L22" s="23"/>
      <c r="M22" s="1"/>
      <c r="N22" s="1"/>
      <c r="O22" s="1"/>
      <c r="P22" s="1"/>
      <c r="Q22" s="1"/>
    </row>
    <row r="23" spans="1:17" s="26" customFormat="1" ht="12">
      <c r="A23" s="14"/>
      <c r="B23" s="5"/>
      <c r="C23" s="15"/>
      <c r="D23" s="14" t="s">
        <v>24</v>
      </c>
      <c r="E23" s="14"/>
      <c r="F23" s="23">
        <f>+[2]Hoja1!I5</f>
        <v>60930000</v>
      </c>
      <c r="G23" s="23">
        <f>+[2]Hoja1!J5</f>
        <v>57074354.859999999</v>
      </c>
      <c r="H23" s="23">
        <f>+[2]Hoja1!K5</f>
        <v>93143092.730000004</v>
      </c>
      <c r="I23" s="20">
        <f>SUM(F23:H23)</f>
        <v>211147447.59</v>
      </c>
      <c r="J23" s="23"/>
      <c r="K23" s="23"/>
      <c r="L23" s="23"/>
      <c r="M23" s="1"/>
      <c r="N23" s="1"/>
      <c r="O23" s="1"/>
      <c r="P23" s="1"/>
      <c r="Q23" s="1"/>
    </row>
    <row r="24" spans="1:17" s="26" customFormat="1" ht="12">
      <c r="A24" s="14"/>
      <c r="B24" s="5"/>
      <c r="C24" s="15"/>
      <c r="D24" s="14" t="s">
        <v>19</v>
      </c>
      <c r="E24" s="14"/>
      <c r="F24" s="23">
        <f>+[2]Hoja1!I6</f>
        <v>5823193</v>
      </c>
      <c r="G24" s="23">
        <f>+[2]Hoja1!J6</f>
        <v>776000</v>
      </c>
      <c r="H24" s="23">
        <f>+[2]Hoja1!K6</f>
        <v>9303000</v>
      </c>
      <c r="I24" s="20">
        <f>SUM(F24:H24)</f>
        <v>15902193</v>
      </c>
      <c r="J24" s="23"/>
      <c r="K24" s="23"/>
      <c r="L24" s="23"/>
      <c r="M24" s="1"/>
      <c r="N24" s="1"/>
      <c r="O24" s="1"/>
      <c r="P24" s="1"/>
      <c r="Q24" s="1"/>
    </row>
    <row r="25" spans="1:17" s="26" customFormat="1" ht="12">
      <c r="A25" s="14"/>
      <c r="B25" s="5"/>
      <c r="C25" s="15"/>
      <c r="D25" s="14" t="s">
        <v>20</v>
      </c>
      <c r="E25" s="14"/>
      <c r="F25" s="23">
        <f>+[2]Hoja1!I7</f>
        <v>0</v>
      </c>
      <c r="G25" s="23">
        <f>+[2]Hoja1!J7</f>
        <v>0</v>
      </c>
      <c r="H25" s="23">
        <f>+[2]Hoja1!K7</f>
        <v>0</v>
      </c>
      <c r="I25" s="16">
        <f>SUM(F25:H25)</f>
        <v>0</v>
      </c>
      <c r="J25" s="23"/>
      <c r="K25" s="23"/>
      <c r="L25" s="23"/>
      <c r="M25" s="1"/>
      <c r="N25" s="1"/>
      <c r="O25" s="1"/>
      <c r="P25" s="1"/>
      <c r="Q25" s="1"/>
    </row>
    <row r="26" spans="1:17" s="26" customFormat="1" ht="12">
      <c r="A26" s="14"/>
      <c r="B26" s="5"/>
      <c r="C26" s="15"/>
      <c r="D26" s="14" t="s">
        <v>22</v>
      </c>
      <c r="E26" s="14"/>
      <c r="F26" s="23">
        <f>[2]Hoja1!I8</f>
        <v>0</v>
      </c>
      <c r="G26" s="23">
        <f>[2]Hoja1!J8</f>
        <v>8400000</v>
      </c>
      <c r="H26" s="23">
        <f>[2]Hoja1!K8</f>
        <v>0</v>
      </c>
      <c r="I26" s="20">
        <f>SUM(F26:H26)</f>
        <v>8400000</v>
      </c>
      <c r="J26" s="23"/>
      <c r="K26" s="23"/>
      <c r="L26" s="23"/>
      <c r="M26" s="1"/>
      <c r="N26" s="1"/>
      <c r="O26" s="1"/>
      <c r="P26" s="1"/>
      <c r="Q26" s="1"/>
    </row>
    <row r="27" spans="1:17" s="22" customFormat="1" hidden="1">
      <c r="A27" s="17" t="s">
        <v>25</v>
      </c>
      <c r="B27" s="18">
        <f>+'ingresos 2020 colones '!M41</f>
        <v>0</v>
      </c>
      <c r="C27" s="19"/>
      <c r="D27" s="17"/>
      <c r="E27" s="17"/>
      <c r="F27" s="20"/>
      <c r="G27" s="20"/>
      <c r="H27" s="20"/>
      <c r="I27" s="20"/>
      <c r="J27" s="28"/>
      <c r="K27" s="28"/>
      <c r="L27" s="28"/>
      <c r="M27" s="21"/>
      <c r="N27" s="21"/>
      <c r="O27" s="21"/>
      <c r="P27" s="21"/>
      <c r="Q27" s="21"/>
    </row>
    <row r="28" spans="1:17" hidden="1">
      <c r="A28" s="14"/>
      <c r="B28" s="5"/>
      <c r="C28" s="15"/>
      <c r="I28" s="16"/>
      <c r="J28" s="23"/>
      <c r="K28" s="23"/>
      <c r="L28" s="23"/>
    </row>
    <row r="29" spans="1:17">
      <c r="B29" s="23"/>
      <c r="C29" s="15"/>
      <c r="I29" s="16"/>
      <c r="J29" s="23"/>
      <c r="K29" s="23"/>
      <c r="L29" s="23"/>
    </row>
    <row r="30" spans="1:17" s="22" customFormat="1">
      <c r="A30" s="29" t="s">
        <v>26</v>
      </c>
      <c r="B30" s="28">
        <f>SUM(B32)</f>
        <v>267721799.99620029</v>
      </c>
      <c r="C30" s="19"/>
      <c r="D30" s="14"/>
      <c r="E30" s="29"/>
      <c r="F30" s="28"/>
      <c r="G30" s="28"/>
      <c r="H30" s="28"/>
      <c r="I30" s="20"/>
      <c r="J30" s="21"/>
      <c r="K30" s="21"/>
      <c r="L30" s="21"/>
      <c r="M30" s="21"/>
      <c r="N30" s="21"/>
      <c r="O30" s="21"/>
      <c r="P30" s="21"/>
      <c r="Q30" s="21"/>
    </row>
    <row r="31" spans="1:17" s="22" customFormat="1">
      <c r="A31" s="29"/>
      <c r="B31" s="28"/>
      <c r="C31" s="19"/>
      <c r="D31" s="14"/>
      <c r="E31" s="14"/>
      <c r="F31" s="16"/>
      <c r="G31" s="16"/>
      <c r="H31" s="16"/>
      <c r="I31" s="16"/>
      <c r="J31" s="21"/>
      <c r="K31" s="21"/>
      <c r="L31" s="21"/>
      <c r="M31" s="21"/>
      <c r="N31" s="21"/>
      <c r="O31" s="21"/>
      <c r="P31" s="21"/>
      <c r="Q31" s="21"/>
    </row>
    <row r="32" spans="1:17">
      <c r="A32" s="14" t="s">
        <v>27</v>
      </c>
      <c r="B32" s="5">
        <f>+B34+B37</f>
        <v>267721799.99620029</v>
      </c>
      <c r="C32" s="30"/>
      <c r="D32" s="14" t="s">
        <v>20</v>
      </c>
      <c r="F32" s="16">
        <v>133860900</v>
      </c>
      <c r="G32" s="16">
        <v>133860900</v>
      </c>
      <c r="H32" s="23">
        <f>+[2]Hoja1!H33</f>
        <v>0</v>
      </c>
      <c r="I32" s="20">
        <f>SUM(F32:H32)</f>
        <v>267721800</v>
      </c>
    </row>
    <row r="33" spans="1:17">
      <c r="A33" s="14"/>
      <c r="B33" s="5"/>
      <c r="C33" s="30"/>
      <c r="D33" s="31" t="s">
        <v>28</v>
      </c>
      <c r="E33" s="14"/>
      <c r="F33" s="16"/>
      <c r="G33" s="16"/>
      <c r="H33" s="16"/>
      <c r="I33" s="16"/>
    </row>
    <row r="34" spans="1:17">
      <c r="A34" s="14" t="s">
        <v>29</v>
      </c>
      <c r="B34" s="23">
        <f>+'ingresos 2020 colones '!K50</f>
        <v>71825264.719999999</v>
      </c>
      <c r="C34" s="30"/>
      <c r="H34" s="16"/>
      <c r="I34" s="16"/>
    </row>
    <row r="35" spans="1:17">
      <c r="A35" s="14"/>
      <c r="B35" s="23"/>
      <c r="C35" s="30"/>
      <c r="I35" s="16"/>
    </row>
    <row r="36" spans="1:17" hidden="1">
      <c r="A36" s="14"/>
      <c r="B36" s="23"/>
      <c r="C36" s="30"/>
    </row>
    <row r="37" spans="1:17">
      <c r="A37" s="14" t="s">
        <v>30</v>
      </c>
      <c r="B37" s="23">
        <f>+'ingresos 2020 colones '!K51</f>
        <v>195896535.27620029</v>
      </c>
      <c r="C37" s="15"/>
      <c r="D37" s="14"/>
      <c r="H37" s="16"/>
      <c r="I37" s="16"/>
    </row>
    <row r="38" spans="1:17">
      <c r="A38" s="14"/>
      <c r="B38" s="5"/>
      <c r="C38" s="15"/>
      <c r="H38" s="16"/>
      <c r="I38" s="16"/>
    </row>
    <row r="39" spans="1:17" s="22" customFormat="1" ht="13.5" thickBot="1">
      <c r="A39" s="17" t="s">
        <v>31</v>
      </c>
      <c r="B39" s="32">
        <f>B27+B12+B30</f>
        <v>3385876101.9962001</v>
      </c>
      <c r="C39" s="19"/>
      <c r="D39" s="17"/>
      <c r="E39" s="17"/>
      <c r="F39" s="32">
        <f>SUM(F14:F38)</f>
        <v>1404403667.5145068</v>
      </c>
      <c r="G39" s="32">
        <f>SUM(G14:G38)</f>
        <v>1190139648.4908652</v>
      </c>
      <c r="H39" s="32">
        <f>SUM(H14:H38)</f>
        <v>791332785.99179065</v>
      </c>
      <c r="I39" s="32">
        <f>SUM(I14:I38)</f>
        <v>3385876101.9971628</v>
      </c>
      <c r="J39" s="21"/>
      <c r="K39" s="21"/>
      <c r="L39" s="21"/>
      <c r="M39" s="21"/>
      <c r="N39" s="21"/>
      <c r="O39" s="21"/>
      <c r="P39" s="21"/>
      <c r="Q39" s="21"/>
    </row>
    <row r="40" spans="1:17" ht="13.5" thickTop="1">
      <c r="B40" s="23"/>
      <c r="D40" s="14"/>
      <c r="E40" s="14"/>
    </row>
    <row r="43" spans="1:17">
      <c r="B43" s="30">
        <f>+B39-'ingresos 2020 colones '!M53</f>
        <v>0</v>
      </c>
    </row>
    <row r="46" spans="1:17">
      <c r="B46" s="33"/>
    </row>
    <row r="47" spans="1:17">
      <c r="B47" s="34"/>
    </row>
  </sheetData>
  <mergeCells count="6">
    <mergeCell ref="A1:I1"/>
    <mergeCell ref="A2:I2"/>
    <mergeCell ref="A3:I3"/>
    <mergeCell ref="A4:I4"/>
    <mergeCell ref="A7:B7"/>
    <mergeCell ref="D7:I7"/>
  </mergeCells>
  <printOptions horizontalCentered="1" verticalCentered="1"/>
  <pageMargins left="0.39370078740157483" right="0.39370078740157483" top="0.39370078740157483" bottom="0.39370078740157483" header="0.31496062992125984" footer="0.31496062992125984"/>
  <pageSetup scale="85" firstPageNumber="0" orientation="landscape"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63"/>
  <sheetViews>
    <sheetView topLeftCell="F1" zoomScaleNormal="100" workbookViewId="0">
      <selection sqref="A1:N39"/>
    </sheetView>
  </sheetViews>
  <sheetFormatPr baseColWidth="10" defaultRowHeight="12.75"/>
  <cols>
    <col min="1" max="1" width="2" style="42" customWidth="1"/>
    <col min="2" max="3" width="1.7109375" style="42" customWidth="1"/>
    <col min="4" max="4" width="2" style="42" customWidth="1"/>
    <col min="5" max="5" width="2.5703125" style="42" customWidth="1"/>
    <col min="6" max="6" width="3.42578125" style="42" customWidth="1"/>
    <col min="7" max="7" width="3" style="42" customWidth="1"/>
    <col min="8" max="8" width="2.85546875" style="42" customWidth="1"/>
    <col min="9" max="9" width="5.7109375" style="42" customWidth="1"/>
    <col min="10" max="10" width="43.5703125" style="42" customWidth="1"/>
    <col min="11" max="11" width="19" style="43" customWidth="1"/>
    <col min="12" max="12" width="17.140625" style="42" customWidth="1"/>
    <col min="13" max="13" width="19.7109375" style="42" bestFit="1" customWidth="1"/>
    <col min="14" max="14" width="14.42578125" style="44" customWidth="1"/>
    <col min="15" max="15" width="11.42578125" style="35"/>
    <col min="16" max="16" width="17" style="35" bestFit="1" customWidth="1"/>
    <col min="17" max="17" width="12.7109375" style="35" bestFit="1" customWidth="1"/>
    <col min="18" max="16384" width="11.42578125" style="35"/>
  </cols>
  <sheetData>
    <row r="1" spans="1:17" ht="15.75">
      <c r="A1" s="229" t="s">
        <v>0</v>
      </c>
      <c r="B1" s="229"/>
      <c r="C1" s="229"/>
      <c r="D1" s="229"/>
      <c r="E1" s="229"/>
      <c r="F1" s="229"/>
      <c r="G1" s="229"/>
      <c r="H1" s="229"/>
      <c r="I1" s="229"/>
      <c r="J1" s="229"/>
      <c r="K1" s="229"/>
      <c r="L1" s="229"/>
      <c r="M1" s="229"/>
      <c r="N1" s="229"/>
    </row>
    <row r="2" spans="1:17" ht="15.75">
      <c r="A2" s="229" t="str">
        <f>+'[2]ingresos 2020 miles'!A2:N2</f>
        <v>PRESUPUESTO ORDINARIO 2020</v>
      </c>
      <c r="B2" s="229"/>
      <c r="C2" s="229"/>
      <c r="D2" s="229"/>
      <c r="E2" s="229"/>
      <c r="F2" s="229"/>
      <c r="G2" s="229"/>
      <c r="H2" s="229"/>
      <c r="I2" s="229"/>
      <c r="J2" s="229"/>
      <c r="K2" s="229"/>
      <c r="L2" s="229"/>
      <c r="M2" s="229"/>
      <c r="N2" s="229"/>
      <c r="P2"/>
    </row>
    <row r="3" spans="1:17" ht="15.75">
      <c r="A3" s="229" t="s">
        <v>32</v>
      </c>
      <c r="B3" s="229"/>
      <c r="C3" s="229"/>
      <c r="D3" s="229"/>
      <c r="E3" s="229"/>
      <c r="F3" s="229"/>
      <c r="G3" s="229"/>
      <c r="H3" s="229"/>
      <c r="I3" s="229"/>
      <c r="J3" s="229"/>
      <c r="K3" s="229"/>
      <c r="L3" s="229"/>
      <c r="M3" s="229"/>
      <c r="N3" s="229"/>
      <c r="Q3"/>
    </row>
    <row r="4" spans="1:17" ht="15.75">
      <c r="A4" s="230" t="s">
        <v>33</v>
      </c>
      <c r="B4" s="230"/>
      <c r="C4" s="230"/>
      <c r="D4" s="230"/>
      <c r="E4" s="230"/>
      <c r="F4" s="230"/>
      <c r="G4" s="230"/>
      <c r="H4" s="230"/>
      <c r="I4" s="230"/>
      <c r="J4" s="230"/>
      <c r="K4" s="230"/>
      <c r="L4" s="230"/>
      <c r="M4" s="230"/>
      <c r="N4" s="230"/>
    </row>
    <row r="5" spans="1:17" ht="12.75" customHeight="1" thickBot="1">
      <c r="A5" s="36"/>
      <c r="B5" s="36"/>
      <c r="C5" s="36"/>
      <c r="D5" s="36"/>
      <c r="E5" s="36"/>
      <c r="F5" s="36"/>
      <c r="G5" s="36"/>
      <c r="H5" s="36"/>
      <c r="I5" s="36"/>
      <c r="J5" s="36"/>
      <c r="K5" s="36"/>
      <c r="L5" s="36"/>
      <c r="M5" s="36"/>
      <c r="N5" s="37"/>
    </row>
    <row r="6" spans="1:17" ht="21.75" customHeight="1" thickTop="1" thickBot="1">
      <c r="A6" s="38"/>
      <c r="B6" s="38"/>
      <c r="C6" s="38"/>
      <c r="D6" s="39"/>
      <c r="E6" s="39"/>
      <c r="F6" s="39"/>
      <c r="G6" s="39"/>
      <c r="H6" s="39"/>
      <c r="I6" s="39"/>
      <c r="J6" s="40" t="s">
        <v>34</v>
      </c>
      <c r="K6" s="231" t="s">
        <v>35</v>
      </c>
      <c r="L6" s="231"/>
      <c r="M6" s="231"/>
      <c r="N6" s="41" t="s">
        <v>36</v>
      </c>
    </row>
    <row r="7" spans="1:17" ht="13.5" thickTop="1"/>
    <row r="8" spans="1:17">
      <c r="A8" s="44">
        <v>1</v>
      </c>
      <c r="B8" s="44">
        <v>0</v>
      </c>
      <c r="C8" s="44">
        <v>0</v>
      </c>
      <c r="D8" s="45" t="s">
        <v>37</v>
      </c>
      <c r="E8" s="45" t="s">
        <v>38</v>
      </c>
      <c r="F8" s="45" t="s">
        <v>38</v>
      </c>
      <c r="G8" s="45" t="s">
        <v>37</v>
      </c>
      <c r="H8" s="45" t="s">
        <v>37</v>
      </c>
      <c r="I8" s="45" t="s">
        <v>39</v>
      </c>
      <c r="J8" s="46" t="s">
        <v>14</v>
      </c>
      <c r="K8" s="47"/>
      <c r="L8" s="47"/>
      <c r="M8" s="48">
        <f>SUM(L9:L38)</f>
        <v>3118154302</v>
      </c>
      <c r="N8" s="49">
        <f>+M8/M53</f>
        <v>0.92092982970098636</v>
      </c>
    </row>
    <row r="9" spans="1:17">
      <c r="A9" s="44">
        <v>1</v>
      </c>
      <c r="B9" s="44">
        <v>1</v>
      </c>
      <c r="C9" s="44">
        <v>0</v>
      </c>
      <c r="D9" s="45" t="s">
        <v>37</v>
      </c>
      <c r="E9" s="45" t="s">
        <v>38</v>
      </c>
      <c r="F9" s="45" t="s">
        <v>38</v>
      </c>
      <c r="G9" s="45" t="s">
        <v>37</v>
      </c>
      <c r="H9" s="45" t="s">
        <v>37</v>
      </c>
      <c r="I9" s="45" t="s">
        <v>39</v>
      </c>
      <c r="J9" s="46" t="s">
        <v>40</v>
      </c>
      <c r="K9" s="47"/>
      <c r="L9" s="48">
        <f>+K12</f>
        <v>71685248.700000003</v>
      </c>
      <c r="M9" s="47"/>
      <c r="N9" s="49">
        <f>+L9/M53</f>
        <v>2.1171846382015209E-2</v>
      </c>
      <c r="O9" s="50"/>
      <c r="P9" s="50"/>
    </row>
    <row r="10" spans="1:17">
      <c r="K10" s="51"/>
      <c r="L10" s="52"/>
      <c r="M10" s="52"/>
      <c r="N10" s="53"/>
    </row>
    <row r="11" spans="1:17">
      <c r="K11" s="51"/>
      <c r="L11" s="52"/>
      <c r="M11" s="52"/>
      <c r="N11" s="53"/>
    </row>
    <row r="12" spans="1:17" s="59" customFormat="1">
      <c r="A12" s="54">
        <v>1</v>
      </c>
      <c r="B12" s="54">
        <v>1</v>
      </c>
      <c r="C12" s="54">
        <v>9</v>
      </c>
      <c r="D12" s="55" t="s">
        <v>37</v>
      </c>
      <c r="E12" s="55" t="s">
        <v>38</v>
      </c>
      <c r="F12" s="55" t="s">
        <v>38</v>
      </c>
      <c r="G12" s="55" t="s">
        <v>37</v>
      </c>
      <c r="H12" s="55" t="s">
        <v>37</v>
      </c>
      <c r="I12" s="55" t="s">
        <v>39</v>
      </c>
      <c r="J12" s="56" t="s">
        <v>41</v>
      </c>
      <c r="K12" s="57">
        <f>+K13</f>
        <v>71685248.700000003</v>
      </c>
      <c r="L12" s="58"/>
      <c r="M12" s="58"/>
      <c r="N12" s="49">
        <f>+K12/M53</f>
        <v>2.1171846382015209E-2</v>
      </c>
    </row>
    <row r="13" spans="1:17">
      <c r="A13" s="44">
        <v>1</v>
      </c>
      <c r="B13" s="44">
        <v>1</v>
      </c>
      <c r="C13" s="44">
        <v>9</v>
      </c>
      <c r="D13" s="45" t="s">
        <v>42</v>
      </c>
      <c r="E13" s="45" t="s">
        <v>38</v>
      </c>
      <c r="F13" s="45" t="s">
        <v>38</v>
      </c>
      <c r="G13" s="45" t="s">
        <v>37</v>
      </c>
      <c r="H13" s="45" t="s">
        <v>37</v>
      </c>
      <c r="I13" s="45" t="s">
        <v>39</v>
      </c>
      <c r="J13" s="60" t="s">
        <v>43</v>
      </c>
      <c r="K13" s="61">
        <f>K14</f>
        <v>71685248.700000003</v>
      </c>
      <c r="L13" s="52"/>
      <c r="M13" s="52"/>
      <c r="N13" s="53">
        <f>+K13/M53</f>
        <v>2.1171846382015209E-2</v>
      </c>
    </row>
    <row r="14" spans="1:17">
      <c r="A14" s="44">
        <v>1</v>
      </c>
      <c r="B14" s="44">
        <v>1</v>
      </c>
      <c r="C14" s="44">
        <v>9</v>
      </c>
      <c r="D14" s="45" t="s">
        <v>42</v>
      </c>
      <c r="E14" s="45" t="s">
        <v>44</v>
      </c>
      <c r="F14" s="45" t="s">
        <v>38</v>
      </c>
      <c r="G14" s="45" t="s">
        <v>37</v>
      </c>
      <c r="H14" s="45" t="s">
        <v>37</v>
      </c>
      <c r="I14" s="45" t="s">
        <v>39</v>
      </c>
      <c r="J14" s="60" t="s">
        <v>45</v>
      </c>
      <c r="K14" s="61">
        <v>71685248.700000003</v>
      </c>
      <c r="L14" s="52"/>
      <c r="M14" s="52"/>
      <c r="N14" s="53">
        <f>+K14/M53</f>
        <v>2.1171846382015209E-2</v>
      </c>
    </row>
    <row r="15" spans="1:17">
      <c r="K15" s="51"/>
      <c r="L15" s="52"/>
      <c r="M15" s="52"/>
      <c r="N15" s="53"/>
    </row>
    <row r="16" spans="1:17">
      <c r="A16" s="44">
        <v>1</v>
      </c>
      <c r="B16" s="44">
        <v>3</v>
      </c>
      <c r="C16" s="44">
        <v>0</v>
      </c>
      <c r="D16" s="45" t="s">
        <v>37</v>
      </c>
      <c r="E16" s="45" t="s">
        <v>38</v>
      </c>
      <c r="F16" s="45" t="s">
        <v>38</v>
      </c>
      <c r="G16" s="45" t="s">
        <v>37</v>
      </c>
      <c r="H16" s="45" t="s">
        <v>37</v>
      </c>
      <c r="I16" s="45" t="s">
        <v>39</v>
      </c>
      <c r="J16" s="62" t="s">
        <v>46</v>
      </c>
      <c r="K16" s="47"/>
      <c r="L16" s="48">
        <f>+K18</f>
        <v>653369053.29999995</v>
      </c>
      <c r="M16" s="47"/>
      <c r="N16" s="49">
        <f>+L16/M53</f>
        <v>0.19296897866841473</v>
      </c>
    </row>
    <row r="17" spans="1:18">
      <c r="K17" s="51"/>
      <c r="L17" s="52"/>
      <c r="M17" s="52"/>
      <c r="N17" s="53"/>
    </row>
    <row r="18" spans="1:18">
      <c r="A18" s="44">
        <v>1</v>
      </c>
      <c r="B18" s="44">
        <v>3</v>
      </c>
      <c r="C18" s="44">
        <v>1</v>
      </c>
      <c r="D18" s="45" t="s">
        <v>37</v>
      </c>
      <c r="E18" s="45" t="s">
        <v>38</v>
      </c>
      <c r="F18" s="45" t="s">
        <v>38</v>
      </c>
      <c r="G18" s="45" t="s">
        <v>37</v>
      </c>
      <c r="H18" s="45" t="s">
        <v>37</v>
      </c>
      <c r="I18" s="45" t="s">
        <v>39</v>
      </c>
      <c r="J18" s="63" t="s">
        <v>47</v>
      </c>
      <c r="K18" s="61">
        <f>K19</f>
        <v>653369053.29999995</v>
      </c>
      <c r="L18" s="52"/>
      <c r="M18" s="52"/>
      <c r="N18" s="53">
        <f>+K18/M53</f>
        <v>0.19296897866841473</v>
      </c>
      <c r="P18" s="50"/>
    </row>
    <row r="19" spans="1:18">
      <c r="A19" s="44">
        <v>1</v>
      </c>
      <c r="B19" s="44">
        <v>3</v>
      </c>
      <c r="C19" s="44">
        <v>1</v>
      </c>
      <c r="D19" s="45" t="s">
        <v>48</v>
      </c>
      <c r="E19" s="45" t="s">
        <v>38</v>
      </c>
      <c r="F19" s="45" t="s">
        <v>38</v>
      </c>
      <c r="G19" s="45" t="s">
        <v>37</v>
      </c>
      <c r="H19" s="45" t="s">
        <v>37</v>
      </c>
      <c r="I19" s="45" t="s">
        <v>39</v>
      </c>
      <c r="J19" s="60" t="s">
        <v>49</v>
      </c>
      <c r="K19" s="51">
        <f>K20</f>
        <v>653369053.29999995</v>
      </c>
      <c r="L19" s="52"/>
      <c r="M19" s="52"/>
      <c r="N19" s="53">
        <f>+K19/M53</f>
        <v>0.19296897866841473</v>
      </c>
      <c r="P19" s="50"/>
    </row>
    <row r="20" spans="1:18">
      <c r="A20" s="44">
        <v>1</v>
      </c>
      <c r="B20" s="44">
        <v>3</v>
      </c>
      <c r="C20" s="44">
        <v>1</v>
      </c>
      <c r="D20" s="45" t="s">
        <v>48</v>
      </c>
      <c r="E20" s="45" t="s">
        <v>50</v>
      </c>
      <c r="F20" s="45" t="s">
        <v>38</v>
      </c>
      <c r="G20" s="45" t="s">
        <v>37</v>
      </c>
      <c r="H20" s="45" t="s">
        <v>37</v>
      </c>
      <c r="I20" s="45" t="s">
        <v>39</v>
      </c>
      <c r="J20" s="60" t="s">
        <v>51</v>
      </c>
      <c r="K20" s="61">
        <f>+K21+K22</f>
        <v>653369053.29999995</v>
      </c>
      <c r="L20" s="52"/>
      <c r="M20" s="52"/>
      <c r="N20" s="53">
        <f>+K20/M53</f>
        <v>0.19296897866841473</v>
      </c>
      <c r="P20" s="50"/>
    </row>
    <row r="21" spans="1:18">
      <c r="A21" s="44">
        <v>1</v>
      </c>
      <c r="B21" s="44">
        <v>3</v>
      </c>
      <c r="C21" s="44">
        <v>1</v>
      </c>
      <c r="D21" s="45" t="s">
        <v>48</v>
      </c>
      <c r="E21" s="45" t="s">
        <v>50</v>
      </c>
      <c r="F21" s="45" t="s">
        <v>44</v>
      </c>
      <c r="G21" s="45" t="s">
        <v>37</v>
      </c>
      <c r="H21" s="45" t="s">
        <v>37</v>
      </c>
      <c r="I21" s="45" t="s">
        <v>39</v>
      </c>
      <c r="J21" s="64" t="s">
        <v>52</v>
      </c>
      <c r="K21" s="65">
        <v>29995750</v>
      </c>
      <c r="L21" s="52"/>
      <c r="M21" s="52"/>
      <c r="N21" s="53">
        <f>+K21/M53</f>
        <v>8.8590808099314397E-3</v>
      </c>
    </row>
    <row r="22" spans="1:18">
      <c r="A22" s="44">
        <v>1</v>
      </c>
      <c r="B22" s="44">
        <v>3</v>
      </c>
      <c r="C22" s="44">
        <v>1</v>
      </c>
      <c r="D22" s="45" t="s">
        <v>48</v>
      </c>
      <c r="E22" s="45" t="s">
        <v>50</v>
      </c>
      <c r="F22" s="45" t="s">
        <v>50</v>
      </c>
      <c r="G22" s="45" t="s">
        <v>37</v>
      </c>
      <c r="H22" s="45" t="s">
        <v>37</v>
      </c>
      <c r="I22" s="45" t="s">
        <v>39</v>
      </c>
      <c r="J22" s="64" t="s">
        <v>53</v>
      </c>
      <c r="K22" s="65">
        <f>SUM(K23:K28)</f>
        <v>623373303.29999995</v>
      </c>
      <c r="L22" s="52"/>
      <c r="M22" s="52"/>
      <c r="N22" s="53">
        <f>+K22/M53</f>
        <v>0.18410989785848328</v>
      </c>
      <c r="P22" s="50">
        <f>+K21+K22</f>
        <v>653369053.29999995</v>
      </c>
    </row>
    <row r="23" spans="1:18">
      <c r="A23" s="44">
        <v>1</v>
      </c>
      <c r="B23" s="44">
        <v>3</v>
      </c>
      <c r="C23" s="44">
        <v>1</v>
      </c>
      <c r="D23" s="45" t="s">
        <v>48</v>
      </c>
      <c r="E23" s="45" t="s">
        <v>50</v>
      </c>
      <c r="F23" s="45" t="s">
        <v>50</v>
      </c>
      <c r="G23" s="45" t="s">
        <v>42</v>
      </c>
      <c r="H23" s="45" t="s">
        <v>37</v>
      </c>
      <c r="I23" s="45" t="s">
        <v>39</v>
      </c>
      <c r="J23" s="66" t="s">
        <v>54</v>
      </c>
      <c r="K23" s="61">
        <v>21750000</v>
      </c>
      <c r="L23" s="52"/>
      <c r="M23" s="52"/>
      <c r="N23" s="53">
        <f>+K23/M53</f>
        <v>6.4237436175461123E-3</v>
      </c>
    </row>
    <row r="24" spans="1:18">
      <c r="A24" s="44">
        <v>1</v>
      </c>
      <c r="B24" s="44">
        <v>3</v>
      </c>
      <c r="C24" s="44">
        <v>1</v>
      </c>
      <c r="D24" s="45" t="s">
        <v>48</v>
      </c>
      <c r="E24" s="45" t="s">
        <v>50</v>
      </c>
      <c r="F24" s="45" t="s">
        <v>50</v>
      </c>
      <c r="G24" s="45" t="s">
        <v>48</v>
      </c>
      <c r="H24" s="45" t="s">
        <v>37</v>
      </c>
      <c r="I24" s="45" t="s">
        <v>39</v>
      </c>
      <c r="J24" s="66" t="s">
        <v>55</v>
      </c>
      <c r="K24" s="61">
        <v>49623303.299999997</v>
      </c>
      <c r="L24" s="52"/>
      <c r="M24" s="52"/>
      <c r="N24" s="53">
        <f>+K24/M53</f>
        <v>1.4655971395628962E-2</v>
      </c>
      <c r="P24" s="67"/>
      <c r="Q24" s="68"/>
      <c r="R24" s="69"/>
    </row>
    <row r="25" spans="1:18">
      <c r="A25" s="44"/>
      <c r="B25" s="44"/>
      <c r="C25" s="44"/>
      <c r="D25" s="45"/>
      <c r="E25" s="45"/>
      <c r="F25" s="45"/>
      <c r="G25" s="45"/>
      <c r="H25" s="45"/>
      <c r="I25" s="45"/>
      <c r="J25" s="70" t="s">
        <v>56</v>
      </c>
      <c r="K25" s="61"/>
      <c r="L25" s="52"/>
      <c r="M25" s="52"/>
      <c r="N25" s="53"/>
      <c r="P25" s="71">
        <f>+K14+K20+K36+K39</f>
        <v>787654302</v>
      </c>
      <c r="Q25" s="72" t="s">
        <v>57</v>
      </c>
      <c r="R25" s="73"/>
    </row>
    <row r="26" spans="1:18" ht="15" customHeight="1">
      <c r="A26" s="44"/>
      <c r="B26" s="44"/>
      <c r="C26" s="44"/>
      <c r="D26" s="45"/>
      <c r="E26" s="45"/>
      <c r="F26" s="45"/>
      <c r="G26" s="45"/>
      <c r="H26" s="45"/>
      <c r="I26" s="45"/>
      <c r="J26" s="66" t="s">
        <v>58</v>
      </c>
      <c r="K26" s="61" t="s">
        <v>3</v>
      </c>
      <c r="L26" s="52"/>
      <c r="M26" s="52"/>
      <c r="P26" s="71">
        <f>+L48</f>
        <v>267721799.99620029</v>
      </c>
      <c r="Q26" s="72" t="s">
        <v>59</v>
      </c>
      <c r="R26" s="73"/>
    </row>
    <row r="27" spans="1:18" ht="14.25" customHeight="1">
      <c r="A27" s="44">
        <v>1</v>
      </c>
      <c r="B27" s="44">
        <v>3</v>
      </c>
      <c r="C27" s="44">
        <v>1</v>
      </c>
      <c r="D27" s="45" t="s">
        <v>48</v>
      </c>
      <c r="E27" s="45" t="s">
        <v>50</v>
      </c>
      <c r="F27" s="45" t="s">
        <v>50</v>
      </c>
      <c r="G27" s="74" t="s">
        <v>60</v>
      </c>
      <c r="H27" s="45" t="s">
        <v>37</v>
      </c>
      <c r="I27" s="45" t="s">
        <v>39</v>
      </c>
      <c r="J27" s="66" t="s">
        <v>61</v>
      </c>
      <c r="K27" s="61">
        <v>282000000</v>
      </c>
      <c r="L27" s="52"/>
      <c r="M27" s="52"/>
      <c r="N27" s="53"/>
      <c r="P27" s="71">
        <f>SUM(P25:P26)</f>
        <v>1055376101.9962003</v>
      </c>
      <c r="Q27" s="72" t="s">
        <v>62</v>
      </c>
      <c r="R27" s="73"/>
    </row>
    <row r="28" spans="1:18" ht="15" customHeight="1">
      <c r="A28" s="44">
        <v>1</v>
      </c>
      <c r="B28" s="44">
        <v>3</v>
      </c>
      <c r="C28" s="44">
        <v>1</v>
      </c>
      <c r="D28" s="45" t="s">
        <v>48</v>
      </c>
      <c r="E28" s="45" t="s">
        <v>50</v>
      </c>
      <c r="F28" s="45" t="s">
        <v>50</v>
      </c>
      <c r="G28" s="74" t="s">
        <v>63</v>
      </c>
      <c r="H28" s="45" t="s">
        <v>37</v>
      </c>
      <c r="I28" s="45" t="s">
        <v>39</v>
      </c>
      <c r="J28" s="66" t="s">
        <v>64</v>
      </c>
      <c r="K28" s="61">
        <v>270000000</v>
      </c>
      <c r="L28" s="52"/>
      <c r="M28" s="52"/>
      <c r="N28" s="53">
        <f>+K28/M53</f>
        <v>7.9743024217813804E-2</v>
      </c>
      <c r="P28" s="71">
        <f>+K35</f>
        <v>2330500000</v>
      </c>
      <c r="Q28" s="72" t="s">
        <v>65</v>
      </c>
      <c r="R28" s="73"/>
    </row>
    <row r="29" spans="1:18">
      <c r="K29" s="61"/>
      <c r="L29" s="52"/>
      <c r="M29" s="52"/>
      <c r="N29" s="53"/>
      <c r="P29" s="75">
        <f>SUM(P27:P28)</f>
        <v>3385876101.9962006</v>
      </c>
      <c r="Q29" s="76" t="s">
        <v>66</v>
      </c>
      <c r="R29" s="77"/>
    </row>
    <row r="30" spans="1:18">
      <c r="K30" s="51"/>
      <c r="L30" s="52"/>
      <c r="M30" s="52"/>
      <c r="N30" s="53"/>
    </row>
    <row r="31" spans="1:18">
      <c r="A31" s="44">
        <v>1</v>
      </c>
      <c r="B31" s="44">
        <v>4</v>
      </c>
      <c r="C31" s="44">
        <v>0</v>
      </c>
      <c r="D31" s="45" t="s">
        <v>37</v>
      </c>
      <c r="E31" s="45" t="s">
        <v>38</v>
      </c>
      <c r="F31" s="45" t="s">
        <v>38</v>
      </c>
      <c r="G31" s="45" t="s">
        <v>37</v>
      </c>
      <c r="H31" s="45" t="s">
        <v>37</v>
      </c>
      <c r="I31" s="45" t="s">
        <v>39</v>
      </c>
      <c r="J31" s="62" t="s">
        <v>67</v>
      </c>
      <c r="K31" s="48" t="str">
        <f>K33</f>
        <v xml:space="preserve"> </v>
      </c>
      <c r="L31" s="47"/>
      <c r="M31" s="48">
        <f>+L33+L38</f>
        <v>2393100000</v>
      </c>
      <c r="N31" s="49">
        <f>+M31/M53</f>
        <v>0.70678900465055639</v>
      </c>
    </row>
    <row r="32" spans="1:18">
      <c r="A32" s="44"/>
      <c r="B32" s="44"/>
      <c r="C32" s="44"/>
      <c r="D32" s="45"/>
      <c r="E32" s="45"/>
      <c r="F32" s="45"/>
      <c r="G32" s="45"/>
      <c r="H32" s="45"/>
      <c r="I32" s="45"/>
      <c r="J32" s="60"/>
      <c r="K32" s="51"/>
      <c r="L32" s="52"/>
      <c r="M32" s="52"/>
      <c r="N32" s="53"/>
      <c r="P32" s="50"/>
    </row>
    <row r="33" spans="1:16">
      <c r="A33" s="44">
        <v>1</v>
      </c>
      <c r="B33" s="44">
        <v>4</v>
      </c>
      <c r="C33" s="44">
        <v>1</v>
      </c>
      <c r="D33" s="45" t="s">
        <v>37</v>
      </c>
      <c r="E33" s="45" t="s">
        <v>38</v>
      </c>
      <c r="F33" s="45" t="s">
        <v>38</v>
      </c>
      <c r="G33" s="45" t="s">
        <v>37</v>
      </c>
      <c r="H33" s="45" t="s">
        <v>37</v>
      </c>
      <c r="I33" s="45" t="s">
        <v>39</v>
      </c>
      <c r="J33" s="78" t="s">
        <v>68</v>
      </c>
      <c r="K33" s="79" t="s">
        <v>3</v>
      </c>
      <c r="L33" s="48">
        <f>K34</f>
        <v>2385100000</v>
      </c>
      <c r="M33" s="80"/>
      <c r="N33" s="53">
        <f>+L33/M53</f>
        <v>0.70442624837743595</v>
      </c>
    </row>
    <row r="34" spans="1:16">
      <c r="A34" s="44">
        <v>1</v>
      </c>
      <c r="B34" s="44">
        <v>4</v>
      </c>
      <c r="C34" s="44">
        <v>1</v>
      </c>
      <c r="D34" s="45" t="s">
        <v>42</v>
      </c>
      <c r="E34" s="45" t="s">
        <v>38</v>
      </c>
      <c r="F34" s="45" t="s">
        <v>38</v>
      </c>
      <c r="G34" s="45" t="s">
        <v>37</v>
      </c>
      <c r="H34" s="45" t="s">
        <v>37</v>
      </c>
      <c r="I34" s="45" t="s">
        <v>39</v>
      </c>
      <c r="J34" s="60" t="s">
        <v>69</v>
      </c>
      <c r="K34" s="61">
        <f>K35+K36</f>
        <v>2385100000</v>
      </c>
      <c r="L34" s="58"/>
      <c r="M34" s="52"/>
      <c r="N34" s="53">
        <f>+K34/M53</f>
        <v>0.70442624837743595</v>
      </c>
    </row>
    <row r="35" spans="1:16">
      <c r="A35" s="44">
        <v>1</v>
      </c>
      <c r="B35" s="44">
        <v>4</v>
      </c>
      <c r="C35" s="44">
        <v>1</v>
      </c>
      <c r="D35" s="45" t="s">
        <v>42</v>
      </c>
      <c r="E35" s="45" t="s">
        <v>44</v>
      </c>
      <c r="F35" s="45" t="s">
        <v>38</v>
      </c>
      <c r="G35" s="45" t="s">
        <v>37</v>
      </c>
      <c r="H35" s="45" t="s">
        <v>37</v>
      </c>
      <c r="I35" s="45" t="s">
        <v>39</v>
      </c>
      <c r="J35" s="81" t="s">
        <v>70</v>
      </c>
      <c r="K35" s="82">
        <v>2330500000</v>
      </c>
      <c r="L35" s="58"/>
      <c r="M35" s="52"/>
      <c r="N35" s="53">
        <f>+K35/M53</f>
        <v>0.68830043681338915</v>
      </c>
    </row>
    <row r="36" spans="1:16">
      <c r="A36" s="44">
        <v>1</v>
      </c>
      <c r="B36" s="44">
        <v>4</v>
      </c>
      <c r="C36" s="44">
        <v>1</v>
      </c>
      <c r="D36" s="45" t="s">
        <v>42</v>
      </c>
      <c r="E36" s="45" t="s">
        <v>71</v>
      </c>
      <c r="F36" s="45" t="s">
        <v>38</v>
      </c>
      <c r="G36" s="45" t="s">
        <v>37</v>
      </c>
      <c r="H36" s="45" t="s">
        <v>37</v>
      </c>
      <c r="I36" s="45" t="s">
        <v>39</v>
      </c>
      <c r="J36" s="83" t="s">
        <v>72</v>
      </c>
      <c r="K36" s="82">
        <v>54600000</v>
      </c>
      <c r="L36" s="58"/>
      <c r="M36" s="52"/>
      <c r="N36" s="53">
        <f>+K36/M53</f>
        <v>1.6125811564046792E-2</v>
      </c>
      <c r="P36" s="50"/>
    </row>
    <row r="37" spans="1:16">
      <c r="A37" s="44"/>
      <c r="B37" s="44"/>
      <c r="C37" s="44"/>
      <c r="D37" s="45"/>
      <c r="E37" s="45"/>
      <c r="F37" s="45"/>
      <c r="G37" s="45"/>
      <c r="H37" s="45"/>
      <c r="I37" s="45"/>
      <c r="J37" s="60"/>
      <c r="K37" s="82"/>
      <c r="L37" s="58"/>
      <c r="M37" s="52"/>
      <c r="N37" s="53"/>
      <c r="P37" s="50"/>
    </row>
    <row r="38" spans="1:16">
      <c r="A38" s="44">
        <v>1</v>
      </c>
      <c r="B38" s="44">
        <v>4</v>
      </c>
      <c r="C38" s="44">
        <v>3</v>
      </c>
      <c r="D38" s="45" t="s">
        <v>37</v>
      </c>
      <c r="E38" s="45" t="s">
        <v>38</v>
      </c>
      <c r="F38" s="45" t="s">
        <v>38</v>
      </c>
      <c r="G38" s="45" t="s">
        <v>37</v>
      </c>
      <c r="H38" s="45" t="s">
        <v>37</v>
      </c>
      <c r="I38" s="45" t="s">
        <v>39</v>
      </c>
      <c r="J38" s="78" t="s">
        <v>73</v>
      </c>
      <c r="K38" s="79" t="s">
        <v>3</v>
      </c>
      <c r="L38" s="48">
        <f>K39</f>
        <v>8000000</v>
      </c>
      <c r="M38" s="52"/>
      <c r="N38" s="53">
        <f>+L38/M53</f>
        <v>2.3627562731204092E-3</v>
      </c>
      <c r="P38" s="50"/>
    </row>
    <row r="39" spans="1:16">
      <c r="A39" s="44">
        <v>1</v>
      </c>
      <c r="B39" s="44">
        <v>4</v>
      </c>
      <c r="C39" s="44">
        <v>3</v>
      </c>
      <c r="D39" s="45" t="s">
        <v>42</v>
      </c>
      <c r="E39" s="45" t="s">
        <v>38</v>
      </c>
      <c r="F39" s="45" t="s">
        <v>38</v>
      </c>
      <c r="G39" s="45" t="s">
        <v>37</v>
      </c>
      <c r="H39" s="45" t="s">
        <v>37</v>
      </c>
      <c r="I39" s="45" t="s">
        <v>39</v>
      </c>
      <c r="J39" s="83" t="s">
        <v>74</v>
      </c>
      <c r="K39" s="84">
        <v>8000000</v>
      </c>
      <c r="L39" s="52"/>
      <c r="M39" s="52"/>
      <c r="N39" s="53">
        <f>+K39/M53</f>
        <v>2.3627562731204092E-3</v>
      </c>
    </row>
    <row r="40" spans="1:16">
      <c r="A40" s="44"/>
      <c r="B40" s="44"/>
      <c r="C40" s="44"/>
      <c r="D40" s="45"/>
      <c r="E40" s="45"/>
      <c r="F40" s="45"/>
      <c r="G40" s="45"/>
      <c r="H40" s="45"/>
      <c r="I40" s="45"/>
      <c r="J40" s="60"/>
      <c r="K40" s="61"/>
      <c r="L40" s="52"/>
      <c r="M40" s="52"/>
      <c r="N40" s="53"/>
    </row>
    <row r="41" spans="1:16" ht="12.75" hidden="1" customHeight="1">
      <c r="A41" s="44">
        <v>2</v>
      </c>
      <c r="B41" s="44">
        <v>4</v>
      </c>
      <c r="C41" s="44">
        <v>0</v>
      </c>
      <c r="D41" s="45" t="s">
        <v>37</v>
      </c>
      <c r="E41" s="45" t="s">
        <v>38</v>
      </c>
      <c r="F41" s="45" t="s">
        <v>38</v>
      </c>
      <c r="G41" s="45" t="s">
        <v>37</v>
      </c>
      <c r="H41" s="45" t="s">
        <v>37</v>
      </c>
      <c r="I41" s="45" t="s">
        <v>39</v>
      </c>
      <c r="J41" s="62" t="s">
        <v>75</v>
      </c>
      <c r="K41" s="51"/>
      <c r="L41" s="52"/>
      <c r="M41" s="58">
        <f>L43</f>
        <v>0</v>
      </c>
      <c r="N41" s="53">
        <f>+M41/M53</f>
        <v>0</v>
      </c>
    </row>
    <row r="42" spans="1:16" ht="12.75" hidden="1" customHeight="1">
      <c r="A42" s="44"/>
      <c r="B42" s="44"/>
      <c r="C42" s="44"/>
      <c r="D42" s="45"/>
      <c r="E42" s="45"/>
      <c r="F42" s="45"/>
      <c r="G42" s="45"/>
      <c r="H42" s="45"/>
      <c r="I42" s="45"/>
      <c r="J42" s="62"/>
      <c r="K42" s="51"/>
      <c r="L42" s="52"/>
      <c r="M42" s="52"/>
      <c r="N42" s="53" t="s">
        <v>3</v>
      </c>
    </row>
    <row r="43" spans="1:16" ht="12.75" hidden="1" customHeight="1">
      <c r="A43" s="44">
        <v>2</v>
      </c>
      <c r="B43" s="44">
        <v>4</v>
      </c>
      <c r="C43" s="44">
        <v>1</v>
      </c>
      <c r="D43" s="45" t="s">
        <v>37</v>
      </c>
      <c r="E43" s="45" t="s">
        <v>38</v>
      </c>
      <c r="F43" s="45" t="s">
        <v>38</v>
      </c>
      <c r="G43" s="45" t="s">
        <v>37</v>
      </c>
      <c r="H43" s="45" t="s">
        <v>37</v>
      </c>
      <c r="I43" s="45" t="s">
        <v>39</v>
      </c>
      <c r="J43" s="78" t="s">
        <v>73</v>
      </c>
      <c r="K43" s="51" t="s">
        <v>3</v>
      </c>
      <c r="L43" s="52">
        <f>K44</f>
        <v>0</v>
      </c>
      <c r="M43" s="52"/>
      <c r="N43" s="53">
        <f>+L43/M53</f>
        <v>0</v>
      </c>
    </row>
    <row r="44" spans="1:16" hidden="1">
      <c r="A44" s="44">
        <v>2</v>
      </c>
      <c r="B44" s="44">
        <v>4</v>
      </c>
      <c r="C44" s="44">
        <v>1</v>
      </c>
      <c r="D44" s="45" t="s">
        <v>42</v>
      </c>
      <c r="E44" s="45" t="s">
        <v>38</v>
      </c>
      <c r="F44" s="45" t="s">
        <v>38</v>
      </c>
      <c r="G44" s="45" t="s">
        <v>37</v>
      </c>
      <c r="H44" s="45" t="s">
        <v>37</v>
      </c>
      <c r="I44" s="45" t="s">
        <v>39</v>
      </c>
      <c r="J44" s="60" t="s">
        <v>76</v>
      </c>
      <c r="K44" s="82">
        <v>0</v>
      </c>
      <c r="L44" s="52"/>
      <c r="M44" s="52"/>
      <c r="N44" s="53">
        <f>+K44/M53</f>
        <v>0</v>
      </c>
    </row>
    <row r="45" spans="1:16" hidden="1">
      <c r="A45" s="44">
        <v>2</v>
      </c>
      <c r="B45" s="44">
        <v>4</v>
      </c>
      <c r="C45" s="44">
        <v>1</v>
      </c>
      <c r="D45" s="45" t="s">
        <v>42</v>
      </c>
      <c r="E45" s="45" t="s">
        <v>44</v>
      </c>
      <c r="F45" s="45" t="s">
        <v>38</v>
      </c>
      <c r="G45" s="45" t="s">
        <v>37</v>
      </c>
      <c r="H45" s="45" t="s">
        <v>37</v>
      </c>
      <c r="I45" s="45" t="s">
        <v>39</v>
      </c>
      <c r="J45" s="85" t="s">
        <v>77</v>
      </c>
      <c r="K45" s="51">
        <v>0</v>
      </c>
      <c r="L45" s="52"/>
      <c r="M45" s="52"/>
      <c r="N45" s="53">
        <f>+K45/M53</f>
        <v>0</v>
      </c>
    </row>
    <row r="46" spans="1:16" hidden="1">
      <c r="A46" s="44"/>
      <c r="B46" s="44"/>
      <c r="C46" s="44"/>
      <c r="D46" s="45"/>
      <c r="E46" s="45"/>
      <c r="F46" s="45"/>
      <c r="G46" s="45"/>
      <c r="H46" s="45"/>
      <c r="I46" s="45"/>
      <c r="J46" s="81"/>
      <c r="K46" s="51"/>
      <c r="L46" s="52"/>
      <c r="M46" s="52"/>
      <c r="N46" s="86"/>
    </row>
    <row r="47" spans="1:16">
      <c r="A47" s="44">
        <v>3</v>
      </c>
      <c r="B47" s="44">
        <v>0</v>
      </c>
      <c r="C47" s="44">
        <v>0</v>
      </c>
      <c r="D47" s="45" t="s">
        <v>37</v>
      </c>
      <c r="E47" s="45" t="s">
        <v>38</v>
      </c>
      <c r="F47" s="45" t="s">
        <v>38</v>
      </c>
      <c r="G47" s="45" t="s">
        <v>37</v>
      </c>
      <c r="H47" s="45" t="s">
        <v>37</v>
      </c>
      <c r="I47" s="45" t="s">
        <v>39</v>
      </c>
      <c r="J47" s="87" t="s">
        <v>78</v>
      </c>
      <c r="K47" s="51"/>
      <c r="L47" s="52"/>
      <c r="M47" s="58">
        <f>SUM(K50:K52)</f>
        <v>267721799.99620029</v>
      </c>
      <c r="N47" s="49">
        <f>+M47/M53</f>
        <v>7.9070170299013726E-2</v>
      </c>
    </row>
    <row r="48" spans="1:16">
      <c r="A48" s="44">
        <v>3</v>
      </c>
      <c r="B48" s="44">
        <v>3</v>
      </c>
      <c r="C48" s="44">
        <v>0</v>
      </c>
      <c r="D48" s="45" t="s">
        <v>37</v>
      </c>
      <c r="E48" s="45" t="s">
        <v>38</v>
      </c>
      <c r="F48" s="45" t="s">
        <v>38</v>
      </c>
      <c r="G48" s="45" t="s">
        <v>37</v>
      </c>
      <c r="H48" s="45" t="s">
        <v>37</v>
      </c>
      <c r="I48" s="45" t="s">
        <v>39</v>
      </c>
      <c r="J48" s="87" t="s">
        <v>79</v>
      </c>
      <c r="K48" s="51"/>
      <c r="L48" s="58">
        <f>+K50+K51</f>
        <v>267721799.99620029</v>
      </c>
      <c r="N48" s="49">
        <f>+M47/M53</f>
        <v>7.9070170299013726E-2</v>
      </c>
    </row>
    <row r="49" spans="1:17">
      <c r="A49" s="44"/>
      <c r="B49" s="44"/>
      <c r="C49" s="44"/>
      <c r="D49" s="45"/>
      <c r="E49" s="45"/>
      <c r="F49" s="45"/>
      <c r="G49" s="45"/>
      <c r="H49" s="45"/>
      <c r="I49" s="45"/>
      <c r="J49" s="81"/>
      <c r="K49" s="51"/>
      <c r="L49" s="52"/>
      <c r="M49" s="52"/>
      <c r="N49" s="86"/>
    </row>
    <row r="50" spans="1:17">
      <c r="A50" s="44">
        <v>3</v>
      </c>
      <c r="B50" s="44">
        <v>3</v>
      </c>
      <c r="C50" s="44">
        <v>1</v>
      </c>
      <c r="D50" s="45" t="s">
        <v>37</v>
      </c>
      <c r="E50" s="45" t="s">
        <v>38</v>
      </c>
      <c r="F50" s="45" t="s">
        <v>38</v>
      </c>
      <c r="G50" s="45" t="s">
        <v>37</v>
      </c>
      <c r="H50" s="45" t="s">
        <v>37</v>
      </c>
      <c r="I50" s="45" t="s">
        <v>39</v>
      </c>
      <c r="J50" s="81" t="s">
        <v>80</v>
      </c>
      <c r="K50" s="84">
        <v>71825264.719999999</v>
      </c>
      <c r="L50" s="52"/>
      <c r="M50" s="52"/>
      <c r="N50" s="53">
        <f>+K50/M53</f>
        <v>2.1213199348214251E-2</v>
      </c>
      <c r="P50" s="50">
        <f>+P51-M53</f>
        <v>-872203725.99620008</v>
      </c>
    </row>
    <row r="51" spans="1:17">
      <c r="A51" s="44">
        <v>3</v>
      </c>
      <c r="B51" s="44">
        <v>3</v>
      </c>
      <c r="C51" s="44">
        <v>2</v>
      </c>
      <c r="D51" s="45" t="s">
        <v>37</v>
      </c>
      <c r="E51" s="45" t="s">
        <v>38</v>
      </c>
      <c r="F51" s="45" t="s">
        <v>38</v>
      </c>
      <c r="G51" s="45" t="s">
        <v>37</v>
      </c>
      <c r="H51" s="45" t="s">
        <v>37</v>
      </c>
      <c r="I51" s="45" t="s">
        <v>39</v>
      </c>
      <c r="J51" s="81" t="s">
        <v>81</v>
      </c>
      <c r="K51" s="84">
        <v>195896535.27620029</v>
      </c>
      <c r="L51" s="52"/>
      <c r="M51" s="52"/>
      <c r="N51" s="53">
        <f>+K51/M53</f>
        <v>5.7856970950799468E-2</v>
      </c>
      <c r="P51" s="50">
        <f>+L33+167867226-39294850</f>
        <v>2513672376</v>
      </c>
    </row>
    <row r="52" spans="1:17">
      <c r="A52" s="44"/>
      <c r="B52" s="44"/>
      <c r="C52" s="44"/>
      <c r="D52" s="45"/>
      <c r="E52" s="45"/>
      <c r="F52" s="45"/>
      <c r="G52" s="45"/>
      <c r="H52" s="45"/>
      <c r="I52" s="45"/>
      <c r="J52" s="81"/>
      <c r="K52" s="51"/>
      <c r="L52" s="52"/>
      <c r="M52" s="52"/>
      <c r="N52" s="86"/>
    </row>
    <row r="53" spans="1:17" ht="13.5" thickBot="1">
      <c r="A53" s="59"/>
      <c r="B53" s="59"/>
      <c r="C53" s="59"/>
      <c r="D53" s="59"/>
      <c r="E53" s="59"/>
      <c r="F53" s="59"/>
      <c r="G53" s="59"/>
      <c r="H53" s="59"/>
      <c r="I53" s="59"/>
      <c r="J53" s="88" t="s">
        <v>82</v>
      </c>
      <c r="K53" s="58"/>
      <c r="L53" s="58"/>
      <c r="M53" s="89">
        <f>M8+M41+M47</f>
        <v>3385876101.9962001</v>
      </c>
      <c r="N53" s="90">
        <f>N16+N9+N48+N41+N31</f>
        <v>1</v>
      </c>
      <c r="P53" s="50">
        <f>+M53-L48</f>
        <v>3118154302</v>
      </c>
    </row>
    <row r="54" spans="1:17" ht="13.5" thickTop="1">
      <c r="K54" s="51"/>
      <c r="P54" s="50">
        <f>+P53-2179103889</f>
        <v>939050413</v>
      </c>
    </row>
    <row r="55" spans="1:17">
      <c r="M55" s="80"/>
      <c r="P55" s="50">
        <f>72755127+215953641.61</f>
        <v>288708768.61000001</v>
      </c>
    </row>
    <row r="56" spans="1:17">
      <c r="M56" s="48"/>
      <c r="P56" s="50"/>
    </row>
    <row r="57" spans="1:17">
      <c r="M57" s="91"/>
    </row>
    <row r="58" spans="1:17">
      <c r="M58" s="80">
        <v>2970188368.1231003</v>
      </c>
    </row>
    <row r="59" spans="1:17">
      <c r="K59" s="51">
        <f>+M53-L48-K35</f>
        <v>787654302</v>
      </c>
      <c r="M59" s="92"/>
    </row>
    <row r="60" spans="1:17">
      <c r="M60" s="93"/>
    </row>
    <row r="61" spans="1:17">
      <c r="P61" s="82">
        <v>53191431.329999998</v>
      </c>
      <c r="Q61" s="50">
        <f>+P61-K36</f>
        <v>-1408568.6700000018</v>
      </c>
    </row>
    <row r="62" spans="1:17">
      <c r="P62" s="82">
        <v>19621510.739999998</v>
      </c>
      <c r="Q62" s="50">
        <f>+P62-K39</f>
        <v>11621510.739999998</v>
      </c>
    </row>
    <row r="63" spans="1:17">
      <c r="Q63" s="50">
        <f>SUM(Q61:Q62)</f>
        <v>10212942.069999997</v>
      </c>
    </row>
  </sheetData>
  <mergeCells count="5">
    <mergeCell ref="A1:N1"/>
    <mergeCell ref="A2:N2"/>
    <mergeCell ref="A3:N3"/>
    <mergeCell ref="A4:N4"/>
    <mergeCell ref="K6:M6"/>
  </mergeCells>
  <printOptions horizontalCentered="1" verticalCentered="1"/>
  <pageMargins left="0.39370078740157483" right="0.39370078740157483" top="0.59055118110236227" bottom="0.39370078740157483" header="0.19685039370078741" footer="0.19685039370078741"/>
  <pageSetup scale="80" firstPageNumber="0" orientation="landscape" r:id="rId1"/>
  <headerFooter alignWithMargins="0">
    <oddHeader>&amp;L&amp;G</oddHeader>
    <oddFooter>&amp;L]</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46"/>
  <sheetViews>
    <sheetView zoomScale="110" zoomScaleNormal="110" workbookViewId="0">
      <selection activeCell="D15" sqref="D15"/>
    </sheetView>
  </sheetViews>
  <sheetFormatPr baseColWidth="10" defaultRowHeight="12.75"/>
  <cols>
    <col min="1" max="1" width="8.140625" customWidth="1"/>
    <col min="2" max="2" width="53.5703125" customWidth="1"/>
    <col min="3" max="3" width="20" bestFit="1" customWidth="1"/>
    <col min="4" max="4" width="18.5703125" customWidth="1"/>
    <col min="5" max="5" width="19.140625" bestFit="1" customWidth="1"/>
    <col min="6" max="6" width="18.42578125" customWidth="1"/>
  </cols>
  <sheetData>
    <row r="1" spans="1:13" ht="15">
      <c r="A1" s="234" t="s">
        <v>0</v>
      </c>
      <c r="B1" s="234"/>
      <c r="C1" s="234"/>
      <c r="D1" s="234"/>
      <c r="E1" s="234"/>
      <c r="F1" s="234"/>
    </row>
    <row r="2" spans="1:13" ht="15">
      <c r="A2" s="234" t="str">
        <f>+'ingresos 2020 colones '!A2:N2</f>
        <v>PRESUPUESTO ORDINARIO 2020</v>
      </c>
      <c r="B2" s="234"/>
      <c r="C2" s="234"/>
      <c r="D2" s="234"/>
      <c r="E2" s="234"/>
      <c r="F2" s="234"/>
    </row>
    <row r="3" spans="1:13" ht="15">
      <c r="A3" s="234" t="s">
        <v>83</v>
      </c>
      <c r="B3" s="234"/>
      <c r="C3" s="234"/>
      <c r="D3" s="234"/>
      <c r="E3" s="234"/>
      <c r="F3" s="234"/>
    </row>
    <row r="4" spans="1:13" ht="15">
      <c r="A4" s="234" t="s">
        <v>33</v>
      </c>
      <c r="B4" s="234"/>
      <c r="C4" s="234"/>
      <c r="D4" s="234"/>
      <c r="E4" s="234"/>
      <c r="F4" s="234"/>
      <c r="J4" s="235"/>
      <c r="K4" s="235"/>
      <c r="L4" s="235"/>
      <c r="M4" s="235"/>
    </row>
    <row r="5" spans="1:13" ht="13.5" thickBot="1"/>
    <row r="6" spans="1:13" ht="12.75" customHeight="1">
      <c r="A6" s="236" t="s">
        <v>84</v>
      </c>
      <c r="B6" s="239" t="s">
        <v>85</v>
      </c>
      <c r="C6" s="239" t="s">
        <v>86</v>
      </c>
      <c r="D6" s="94" t="s">
        <v>6</v>
      </c>
      <c r="E6" s="94" t="s">
        <v>6</v>
      </c>
      <c r="F6" s="95" t="s">
        <v>7</v>
      </c>
    </row>
    <row r="7" spans="1:13" ht="12.75" customHeight="1">
      <c r="A7" s="237"/>
      <c r="B7" s="240"/>
      <c r="C7" s="240"/>
      <c r="D7" s="12" t="s">
        <v>10</v>
      </c>
      <c r="E7" s="12" t="s">
        <v>11</v>
      </c>
      <c r="F7" s="96" t="s">
        <v>12</v>
      </c>
    </row>
    <row r="8" spans="1:13" ht="12.75" customHeight="1" thickBot="1">
      <c r="A8" s="238"/>
      <c r="B8" s="241"/>
      <c r="C8" s="241"/>
      <c r="D8" s="97"/>
      <c r="E8" s="97"/>
      <c r="F8" s="98"/>
    </row>
    <row r="9" spans="1:13" ht="29.25" customHeight="1">
      <c r="A9" s="99">
        <v>1</v>
      </c>
      <c r="B9" s="100" t="s">
        <v>87</v>
      </c>
      <c r="C9" s="101">
        <f>+C11+C19</f>
        <v>2953230078.5671625</v>
      </c>
      <c r="D9" s="102">
        <f>+D11+D19</f>
        <v>1206814247.5145068</v>
      </c>
      <c r="E9" s="102">
        <f>+E11+E19</f>
        <v>1034142148.490865</v>
      </c>
      <c r="F9" s="102">
        <f>+F11+F19</f>
        <v>712273682.5617907</v>
      </c>
    </row>
    <row r="10" spans="1:13" ht="15">
      <c r="A10" s="99"/>
      <c r="B10" s="100"/>
      <c r="C10" s="103"/>
      <c r="D10" s="104"/>
      <c r="E10" s="105"/>
      <c r="F10" s="106"/>
    </row>
    <row r="11" spans="1:13" ht="15">
      <c r="A11" s="99">
        <v>1.1000000000000001</v>
      </c>
      <c r="B11" s="107" t="s">
        <v>88</v>
      </c>
      <c r="C11" s="103">
        <f>+C13+C17</f>
        <v>2943581678.5671625</v>
      </c>
      <c r="D11" s="104">
        <f>+D13+D17</f>
        <v>1206814247.5145068</v>
      </c>
      <c r="E11" s="104">
        <f>+E13+E17</f>
        <v>1024543748.490865</v>
      </c>
      <c r="F11" s="104">
        <f>+F13+F17</f>
        <v>712223682.5617907</v>
      </c>
    </row>
    <row r="12" spans="1:13" ht="15">
      <c r="A12" s="108"/>
      <c r="B12" s="107"/>
      <c r="C12" s="109"/>
      <c r="D12" s="105"/>
      <c r="E12" s="106"/>
      <c r="F12" s="106"/>
    </row>
    <row r="13" spans="1:13" ht="14.25">
      <c r="A13" s="108" t="s">
        <v>89</v>
      </c>
      <c r="B13" s="110" t="s">
        <v>16</v>
      </c>
      <c r="C13" s="111">
        <f>SUM(C14:C15)</f>
        <v>2097213232.6871624</v>
      </c>
      <c r="D13" s="112">
        <f>SUM(D14:D15)</f>
        <v>733267625.84450674</v>
      </c>
      <c r="E13" s="112">
        <f>SUM(E14:E15)</f>
        <v>840183017.01086497</v>
      </c>
      <c r="F13" s="112">
        <f>SUM(F14:F15)</f>
        <v>523762589.83179063</v>
      </c>
    </row>
    <row r="14" spans="1:13" ht="14.25">
      <c r="A14" s="108" t="s">
        <v>90</v>
      </c>
      <c r="B14" s="113" t="s">
        <v>91</v>
      </c>
      <c r="C14" s="109">
        <f>+'presupuesto global'!C14+'presupuesto global'!C21+'presupuesto global'!C28</f>
        <v>1759087540.5</v>
      </c>
      <c r="D14" s="105">
        <f>+'presupuesto global'!D14+'presupuesto global'!D21+'presupuesto global'!D28</f>
        <v>614923633.52699995</v>
      </c>
      <c r="E14" s="105">
        <f>+'presupuesto global'!E14+'presupuesto global'!E21+'presupuesto global'!E28</f>
        <v>704932740.16799998</v>
      </c>
      <c r="F14" s="105">
        <f>+'presupuesto global'!F14+'presupuesto global'!F21+'presupuesto global'!F28</f>
        <v>439231166.80500001</v>
      </c>
    </row>
    <row r="15" spans="1:13" ht="14.25">
      <c r="A15" s="108" t="s">
        <v>92</v>
      </c>
      <c r="B15" s="113" t="s">
        <v>93</v>
      </c>
      <c r="C15" s="109">
        <f>+'presupuesto global'!C35+'presupuesto global'!C42</f>
        <v>338125692.18716246</v>
      </c>
      <c r="D15" s="105">
        <f>+'presupuesto global'!D35+'presupuesto global'!D42</f>
        <v>118343992.31750685</v>
      </c>
      <c r="E15" s="105">
        <f>+'presupuesto global'!E35+'presupuesto global'!E42</f>
        <v>135250276.84286499</v>
      </c>
      <c r="F15" s="105">
        <f>+'presupuesto global'!F35+'presupuesto global'!F42</f>
        <v>84531423.026790619</v>
      </c>
    </row>
    <row r="16" spans="1:13" ht="14.25">
      <c r="A16" s="108"/>
      <c r="B16" s="113"/>
      <c r="C16" s="109"/>
      <c r="D16" s="105"/>
      <c r="E16" s="106"/>
      <c r="F16" s="106"/>
    </row>
    <row r="17" spans="1:6" ht="14.25">
      <c r="A17" s="108" t="s">
        <v>94</v>
      </c>
      <c r="B17" s="110" t="s">
        <v>95</v>
      </c>
      <c r="C17" s="111">
        <f>+D17+E17+F17</f>
        <v>846368445.88</v>
      </c>
      <c r="D17" s="112">
        <f>+'presupuesto global'!D53+'presupuesto global'!D128-'presupuesto global'!D103</f>
        <v>473546621.67000002</v>
      </c>
      <c r="E17" s="112">
        <f>+'presupuesto global'!E53+'presupuesto global'!E128-'presupuesto global'!E103</f>
        <v>184360731.47999999</v>
      </c>
      <c r="F17" s="112">
        <f>+'presupuesto global'!F53+'presupuesto global'!F128-'presupuesto global'!F103-50000</f>
        <v>188461092.73000002</v>
      </c>
    </row>
    <row r="18" spans="1:6" ht="14.25">
      <c r="A18" s="108"/>
      <c r="B18" s="113"/>
      <c r="C18" s="109"/>
      <c r="D18" s="105"/>
      <c r="E18" s="106"/>
      <c r="F18" s="106"/>
    </row>
    <row r="19" spans="1:6" ht="15">
      <c r="A19" s="99">
        <v>1.3</v>
      </c>
      <c r="B19" s="107" t="s">
        <v>22</v>
      </c>
      <c r="C19" s="114">
        <f>SUM(D19:F19)</f>
        <v>9648400</v>
      </c>
      <c r="D19" s="115">
        <f>+D22+D24</f>
        <v>0</v>
      </c>
      <c r="E19" s="115">
        <f>+E22+E24</f>
        <v>9598400</v>
      </c>
      <c r="F19" s="115">
        <f>+F20</f>
        <v>50000</v>
      </c>
    </row>
    <row r="20" spans="1:6" ht="14.25">
      <c r="A20" s="108" t="s">
        <v>96</v>
      </c>
      <c r="B20" s="110" t="s">
        <v>97</v>
      </c>
      <c r="C20" s="109">
        <f>SUM(D20:F20)</f>
        <v>50000</v>
      </c>
      <c r="D20" s="105">
        <v>0</v>
      </c>
      <c r="E20" s="105">
        <v>0</v>
      </c>
      <c r="F20" s="105">
        <v>50000</v>
      </c>
    </row>
    <row r="21" spans="1:6" ht="14.25">
      <c r="A21" s="108"/>
      <c r="B21" s="113"/>
      <c r="C21" s="109"/>
      <c r="D21" s="105"/>
      <c r="E21" s="106"/>
      <c r="F21" s="106"/>
    </row>
    <row r="22" spans="1:6" ht="14.25">
      <c r="A22" s="108" t="s">
        <v>98</v>
      </c>
      <c r="B22" s="110" t="s">
        <v>99</v>
      </c>
      <c r="C22" s="109">
        <f>+'presupuesto global'!C218+'presupuesto global'!C224+'presupuesto global'!C241</f>
        <v>350000</v>
      </c>
      <c r="D22" s="105">
        <f>+'presupuesto global'!D218+'presupuesto global'!D224+'presupuesto global'!D241</f>
        <v>0</v>
      </c>
      <c r="E22" s="105">
        <f>+'presupuesto global'!E218+'presupuesto global'!E224+'presupuesto global'!E241</f>
        <v>350000</v>
      </c>
      <c r="F22" s="105">
        <f>+'presupuesto global'!F218+'presupuesto global'!F224+'presupuesto global'!F241</f>
        <v>0</v>
      </c>
    </row>
    <row r="23" spans="1:6" ht="14.25">
      <c r="A23" s="108"/>
      <c r="B23" s="110"/>
      <c r="C23" s="109"/>
      <c r="D23" s="105"/>
      <c r="E23" s="105"/>
      <c r="F23" s="105"/>
    </row>
    <row r="24" spans="1:6" ht="14.25">
      <c r="A24" s="108" t="s">
        <v>100</v>
      </c>
      <c r="B24" s="110" t="s">
        <v>101</v>
      </c>
      <c r="C24" s="109">
        <f>+'presupuesto global'!C245</f>
        <v>9248400</v>
      </c>
      <c r="D24" s="105">
        <f>+'presupuesto global'!D245</f>
        <v>0</v>
      </c>
      <c r="E24" s="105">
        <f>+'presupuesto global'!E245</f>
        <v>9248400</v>
      </c>
      <c r="F24" s="105">
        <f>+'presupuesto global'!F245</f>
        <v>0</v>
      </c>
    </row>
    <row r="25" spans="1:6" ht="14.25">
      <c r="A25" s="108"/>
      <c r="B25" s="113"/>
      <c r="C25" s="109"/>
      <c r="D25" s="105"/>
      <c r="E25" s="106"/>
      <c r="F25" s="106"/>
    </row>
    <row r="26" spans="1:6" ht="15">
      <c r="A26" s="99">
        <v>2</v>
      </c>
      <c r="B26" s="100" t="s">
        <v>102</v>
      </c>
      <c r="C26" s="101">
        <f>+C34+C28</f>
        <v>432646023.43000001</v>
      </c>
      <c r="D26" s="102">
        <f>+D34+D28</f>
        <v>197589420</v>
      </c>
      <c r="E26" s="102">
        <f>+E34+E28</f>
        <v>155997500</v>
      </c>
      <c r="F26" s="102">
        <f>+F34+F28</f>
        <v>79059103.430000007</v>
      </c>
    </row>
    <row r="27" spans="1:6" ht="15">
      <c r="A27" s="99"/>
      <c r="B27" s="100"/>
      <c r="C27" s="109"/>
      <c r="D27" s="105"/>
      <c r="E27" s="102"/>
      <c r="F27" s="106"/>
    </row>
    <row r="28" spans="1:6" ht="15">
      <c r="A28" s="99">
        <v>2.1</v>
      </c>
      <c r="B28" s="107" t="s">
        <v>103</v>
      </c>
      <c r="C28" s="116">
        <f>+C30</f>
        <v>59641603.43</v>
      </c>
      <c r="D28" s="115">
        <f>+D30</f>
        <v>20430000</v>
      </c>
      <c r="E28" s="115">
        <f>+E30</f>
        <v>19300000</v>
      </c>
      <c r="F28" s="115">
        <f>+F30</f>
        <v>19911603.43</v>
      </c>
    </row>
    <row r="29" spans="1:6" ht="15">
      <c r="A29" s="99"/>
      <c r="B29" s="100"/>
      <c r="C29" s="109"/>
      <c r="D29" s="105"/>
      <c r="E29" s="102"/>
      <c r="F29" s="106"/>
    </row>
    <row r="30" spans="1:6" ht="14.25">
      <c r="A30" s="117" t="s">
        <v>104</v>
      </c>
      <c r="B30" s="110" t="s">
        <v>105</v>
      </c>
      <c r="C30" s="111">
        <f>+'presupuesto global'!C104</f>
        <v>59641603.43</v>
      </c>
      <c r="D30" s="118">
        <f>+'presupuesto global'!D104</f>
        <v>20430000</v>
      </c>
      <c r="E30" s="118">
        <f>+'presupuesto global'!E104</f>
        <v>19300000</v>
      </c>
      <c r="F30" s="118">
        <f>+'presupuesto global'!F104</f>
        <v>19911603.43</v>
      </c>
    </row>
    <row r="31" spans="1:6" ht="14.25" hidden="1">
      <c r="A31" s="117"/>
      <c r="B31" s="110"/>
      <c r="C31" s="111"/>
      <c r="D31" s="118"/>
      <c r="E31" s="118"/>
      <c r="F31" s="118"/>
    </row>
    <row r="32" spans="1:6" ht="14.25" hidden="1">
      <c r="A32" s="117" t="s">
        <v>106</v>
      </c>
      <c r="B32" s="110" t="s">
        <v>107</v>
      </c>
      <c r="C32" s="111">
        <f>+'presupuesto global'!C191</f>
        <v>0</v>
      </c>
      <c r="D32" s="118"/>
      <c r="E32" s="118"/>
      <c r="F32" s="118"/>
    </row>
    <row r="33" spans="1:6" ht="14.25">
      <c r="A33" s="108"/>
      <c r="B33" s="113"/>
      <c r="C33" s="109"/>
      <c r="D33" s="118"/>
      <c r="E33" s="118"/>
      <c r="F33" s="118"/>
    </row>
    <row r="34" spans="1:6" ht="15">
      <c r="A34" s="99">
        <v>2.2000000000000002</v>
      </c>
      <c r="B34" s="107" t="s">
        <v>108</v>
      </c>
      <c r="C34" s="114">
        <f>+C36+C38</f>
        <v>373004420</v>
      </c>
      <c r="D34" s="115">
        <f>+D36+D38</f>
        <v>177159420</v>
      </c>
      <c r="E34" s="115">
        <f>+E36+E38</f>
        <v>136697500</v>
      </c>
      <c r="F34" s="115">
        <f>+F36+F38</f>
        <v>59147500</v>
      </c>
    </row>
    <row r="35" spans="1:6" ht="15">
      <c r="A35" s="99"/>
      <c r="B35" s="107"/>
      <c r="C35" s="103"/>
      <c r="D35" s="115"/>
      <c r="E35" s="115"/>
      <c r="F35" s="115"/>
    </row>
    <row r="36" spans="1:6" ht="14.25">
      <c r="A36" s="117" t="s">
        <v>109</v>
      </c>
      <c r="B36" s="110" t="s">
        <v>110</v>
      </c>
      <c r="C36" s="111">
        <f>+'presupuesto global'!C174+'presupuesto global'!C103-C30</f>
        <v>349504420</v>
      </c>
      <c r="D36" s="118">
        <f>(+'presupuesto global'!D174+'presupuesto global'!D103)-D30</f>
        <v>177159420</v>
      </c>
      <c r="E36" s="118">
        <f>+'presupuesto global'!E174+'presupuesto global'!E103-E30</f>
        <v>136697500</v>
      </c>
      <c r="F36" s="118">
        <f>+'presupuesto global'!F174+'presupuesto global'!F103-F30</f>
        <v>35647500</v>
      </c>
    </row>
    <row r="37" spans="1:6" ht="14.25">
      <c r="A37" s="117"/>
      <c r="B37" s="110"/>
      <c r="C37" s="111"/>
      <c r="D37" s="118"/>
      <c r="E37" s="118"/>
      <c r="F37" s="118"/>
    </row>
    <row r="38" spans="1:6" ht="14.25">
      <c r="A38" s="117" t="s">
        <v>111</v>
      </c>
      <c r="B38" s="110" t="s">
        <v>112</v>
      </c>
      <c r="C38" s="111">
        <f>+'presupuesto global'!C202</f>
        <v>23500000</v>
      </c>
      <c r="D38" s="118">
        <f>+'presupuesto global'!D202</f>
        <v>0</v>
      </c>
      <c r="E38" s="118">
        <f>+'presupuesto global'!E202</f>
        <v>0</v>
      </c>
      <c r="F38" s="118">
        <f>+'presupuesto global'!F202</f>
        <v>23500000</v>
      </c>
    </row>
    <row r="39" spans="1:6" ht="14.25">
      <c r="A39" s="117"/>
      <c r="B39" s="119"/>
      <c r="C39" s="111"/>
      <c r="D39" s="112"/>
      <c r="E39" s="106"/>
      <c r="F39" s="106"/>
    </row>
    <row r="40" spans="1:6" ht="14.25" hidden="1">
      <c r="A40" s="117" t="s">
        <v>113</v>
      </c>
      <c r="B40" s="110" t="s">
        <v>114</v>
      </c>
      <c r="C40" s="111">
        <v>0</v>
      </c>
      <c r="D40" s="112"/>
      <c r="E40" s="106"/>
      <c r="F40" s="106"/>
    </row>
    <row r="41" spans="1:6" ht="14.25" hidden="1">
      <c r="A41" s="113"/>
      <c r="B41" s="113"/>
      <c r="C41" s="109"/>
      <c r="D41" s="105"/>
      <c r="E41" s="106"/>
      <c r="F41" s="106"/>
    </row>
    <row r="42" spans="1:6" ht="16.5" thickBot="1">
      <c r="A42" s="120"/>
      <c r="B42" s="121" t="s">
        <v>115</v>
      </c>
      <c r="C42" s="122">
        <f>+C9+C26</f>
        <v>3385876101.9971623</v>
      </c>
      <c r="D42" s="123">
        <f>+D9+D26</f>
        <v>1404403667.5145068</v>
      </c>
      <c r="E42" s="123">
        <f>+E9+E26</f>
        <v>1190139648.490865</v>
      </c>
      <c r="F42" s="123">
        <f>+F9+F26</f>
        <v>791332785.99179077</v>
      </c>
    </row>
    <row r="43" spans="1:6" ht="13.5" thickTop="1"/>
    <row r="44" spans="1:6" ht="41.25" hidden="1" customHeight="1">
      <c r="A44" s="232" t="s">
        <v>116</v>
      </c>
      <c r="B44" s="232"/>
      <c r="C44" s="232"/>
      <c r="D44" s="232"/>
      <c r="E44" s="232"/>
      <c r="F44" s="232"/>
    </row>
    <row r="46" spans="1:6" ht="65.25" customHeight="1">
      <c r="A46" s="233" t="s">
        <v>117</v>
      </c>
      <c r="B46" s="232"/>
      <c r="C46" s="232"/>
      <c r="D46" s="232"/>
      <c r="E46" s="232"/>
      <c r="F46" s="232"/>
    </row>
  </sheetData>
  <mergeCells count="10">
    <mergeCell ref="J4:M4"/>
    <mergeCell ref="A6:A8"/>
    <mergeCell ref="B6:B8"/>
    <mergeCell ref="C6:C8"/>
    <mergeCell ref="A44:F44"/>
    <mergeCell ref="A46:F46"/>
    <mergeCell ref="A1:F1"/>
    <mergeCell ref="A2:F2"/>
    <mergeCell ref="A3:F3"/>
    <mergeCell ref="A4:F4"/>
  </mergeCells>
  <printOptions horizontalCentered="1" verticalCentered="1"/>
  <pageMargins left="0.39370078740157483" right="0.39370078740157483" top="0.39370078740157483" bottom="0.39370078740157483" header="0.31496062992125984" footer="0.31496062992125984"/>
  <pageSetup scale="80" orientation="landscape" r:id="rId1"/>
  <headerFooter alignWithMargins="0">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294"/>
  <sheetViews>
    <sheetView topLeftCell="B1" zoomScaleNormal="100" workbookViewId="0">
      <selection sqref="A1:N39"/>
    </sheetView>
  </sheetViews>
  <sheetFormatPr baseColWidth="10" defaultRowHeight="12.75"/>
  <cols>
    <col min="1" max="1" width="8.140625" style="127" customWidth="1"/>
    <col min="2" max="2" width="47.140625" style="124" customWidth="1"/>
    <col min="3" max="3" width="23.42578125" style="170" customWidth="1"/>
    <col min="4" max="5" width="19.7109375" style="170" customWidth="1"/>
    <col min="6" max="6" width="19.5703125" style="170" customWidth="1"/>
    <col min="7" max="7" width="13.7109375" style="124" bestFit="1" customWidth="1"/>
    <col min="8" max="8" width="15.85546875" style="124" customWidth="1"/>
    <col min="9" max="9" width="15.5703125" style="124" bestFit="1" customWidth="1"/>
    <col min="10" max="10" width="14.28515625" style="124" bestFit="1" customWidth="1"/>
    <col min="11" max="11" width="16.42578125" style="124" customWidth="1"/>
    <col min="12" max="13" width="11.85546875" style="124" bestFit="1" customWidth="1"/>
    <col min="14" max="16384" width="11.42578125" style="124"/>
  </cols>
  <sheetData>
    <row r="1" spans="1:13">
      <c r="A1" s="247" t="s">
        <v>0</v>
      </c>
      <c r="B1" s="247"/>
      <c r="C1" s="247"/>
      <c r="D1" s="247"/>
      <c r="E1" s="247"/>
      <c r="F1" s="247"/>
    </row>
    <row r="2" spans="1:13">
      <c r="A2" s="248" t="s">
        <v>118</v>
      </c>
      <c r="B2" s="248"/>
      <c r="C2" s="248"/>
      <c r="D2" s="248"/>
      <c r="E2" s="248"/>
      <c r="F2" s="248"/>
    </row>
    <row r="3" spans="1:13">
      <c r="A3" s="247" t="s">
        <v>119</v>
      </c>
      <c r="B3" s="247"/>
      <c r="C3" s="247"/>
      <c r="D3" s="247"/>
      <c r="E3" s="247"/>
      <c r="F3" s="247"/>
    </row>
    <row r="4" spans="1:13">
      <c r="A4" s="247" t="s">
        <v>120</v>
      </c>
      <c r="B4" s="247"/>
      <c r="C4" s="247"/>
      <c r="D4" s="247"/>
      <c r="E4" s="247"/>
      <c r="F4" s="247"/>
      <c r="H4" s="125"/>
      <c r="I4" s="126"/>
      <c r="J4" s="126"/>
      <c r="K4" s="126"/>
    </row>
    <row r="5" spans="1:13" ht="13.5" thickBot="1">
      <c r="C5" s="128">
        <f>2447560299.93-C9</f>
        <v>-938315802.06716251</v>
      </c>
      <c r="D5" s="129"/>
      <c r="E5" s="129"/>
      <c r="F5" s="129"/>
      <c r="H5" s="105"/>
      <c r="I5" s="105"/>
      <c r="J5" s="105"/>
      <c r="K5" s="105"/>
    </row>
    <row r="6" spans="1:13" ht="12.75" customHeight="1" thickBot="1">
      <c r="A6" s="249" t="s">
        <v>121</v>
      </c>
      <c r="B6" s="251" t="s">
        <v>122</v>
      </c>
      <c r="C6" s="253" t="s">
        <v>123</v>
      </c>
      <c r="D6" s="254"/>
      <c r="E6" s="254"/>
      <c r="F6" s="255"/>
      <c r="H6" s="242" t="s">
        <v>123</v>
      </c>
      <c r="I6" s="243"/>
      <c r="J6" s="243"/>
      <c r="K6" s="244"/>
    </row>
    <row r="7" spans="1:13" ht="13.5" customHeight="1" thickBot="1">
      <c r="A7" s="250"/>
      <c r="B7" s="252"/>
      <c r="C7" s="245" t="s">
        <v>124</v>
      </c>
      <c r="D7" s="130" t="s">
        <v>125</v>
      </c>
      <c r="E7" s="130" t="s">
        <v>125</v>
      </c>
      <c r="F7" s="131" t="s">
        <v>125</v>
      </c>
      <c r="G7" s="132"/>
      <c r="H7" s="133"/>
      <c r="I7" s="130" t="s">
        <v>125</v>
      </c>
      <c r="J7" s="130" t="s">
        <v>125</v>
      </c>
      <c r="K7" s="131" t="s">
        <v>125</v>
      </c>
    </row>
    <row r="8" spans="1:13" ht="13.5" thickBot="1">
      <c r="A8" s="250"/>
      <c r="B8" s="252"/>
      <c r="C8" s="246"/>
      <c r="D8" s="134" t="s">
        <v>10</v>
      </c>
      <c r="E8" s="134" t="s">
        <v>11</v>
      </c>
      <c r="F8" s="135" t="s">
        <v>12</v>
      </c>
      <c r="H8" s="136"/>
      <c r="I8" s="134" t="s">
        <v>10</v>
      </c>
      <c r="J8" s="134" t="s">
        <v>11</v>
      </c>
      <c r="K8" s="135" t="s">
        <v>12</v>
      </c>
      <c r="L8" s="129">
        <f>SUM(I9:K9)-H9</f>
        <v>0</v>
      </c>
      <c r="M8" s="129" t="e">
        <f>+H9-#REF!/1000</f>
        <v>#REF!</v>
      </c>
    </row>
    <row r="9" spans="1:13" ht="23.25" customHeight="1" thickBot="1">
      <c r="A9" s="137"/>
      <c r="B9" s="138" t="s">
        <v>126</v>
      </c>
      <c r="C9" s="139">
        <v>3385876101.9971623</v>
      </c>
      <c r="D9" s="139">
        <v>1404403667.5145068</v>
      </c>
      <c r="E9" s="139">
        <v>1190139648.4908652</v>
      </c>
      <c r="F9" s="140">
        <v>791332785.99179065</v>
      </c>
      <c r="H9" s="141">
        <f>+H13+H54+H129+H173+H206+H251+H250</f>
        <v>3385876.1019971622</v>
      </c>
      <c r="I9" s="142">
        <f>+I13+I54+I129+I173+I206+I251+I250</f>
        <v>1404403.6675145067</v>
      </c>
      <c r="J9" s="142">
        <f>+J13+J54+J129+J173+J206+J251+J250</f>
        <v>1190139.6484908648</v>
      </c>
      <c r="K9" s="143">
        <f>+K13+K54+K129+K173+K206+K251+K250</f>
        <v>791332.7859917907</v>
      </c>
      <c r="L9" s="129">
        <f>SUM(I10:K10)-H10</f>
        <v>0</v>
      </c>
      <c r="M9" s="129" t="e">
        <f>+H10-#REF!/1000</f>
        <v>#REF!</v>
      </c>
    </row>
    <row r="10" spans="1:13">
      <c r="A10" s="144"/>
      <c r="B10" s="145"/>
      <c r="C10" s="136"/>
      <c r="D10" s="146"/>
      <c r="E10" s="146"/>
      <c r="F10" s="147"/>
      <c r="H10" s="148"/>
      <c r="I10" s="148"/>
      <c r="J10" s="148"/>
      <c r="K10" s="149"/>
      <c r="L10" s="129">
        <f>SUM(I11:K11)-H11</f>
        <v>0</v>
      </c>
      <c r="M10" s="129" t="e">
        <f>+H11-#REF!/1000</f>
        <v>#REF!</v>
      </c>
    </row>
    <row r="11" spans="1:13">
      <c r="A11" s="150"/>
      <c r="B11" s="151"/>
      <c r="C11" s="141"/>
      <c r="D11" s="142"/>
      <c r="E11" s="142"/>
      <c r="F11" s="143"/>
      <c r="G11" s="132"/>
      <c r="H11" s="141">
        <f t="shared" ref="H11:K26" si="0">+C10/1000</f>
        <v>0</v>
      </c>
      <c r="I11" s="141">
        <f t="shared" si="0"/>
        <v>0</v>
      </c>
      <c r="J11" s="141">
        <f t="shared" si="0"/>
        <v>0</v>
      </c>
      <c r="K11" s="152">
        <f t="shared" si="0"/>
        <v>0</v>
      </c>
      <c r="L11" s="129">
        <f>SUM(I12:K12)-H12</f>
        <v>0</v>
      </c>
      <c r="M11" s="129">
        <f t="shared" ref="M11:M74" si="1">+H12-C11/1000</f>
        <v>0</v>
      </c>
    </row>
    <row r="12" spans="1:13" s="155" customFormat="1">
      <c r="A12" s="153">
        <v>0</v>
      </c>
      <c r="B12" s="154" t="s">
        <v>127</v>
      </c>
      <c r="C12" s="148">
        <v>2097213232.6871624</v>
      </c>
      <c r="D12" s="148">
        <v>733267625.84450674</v>
      </c>
      <c r="E12" s="148">
        <v>840183017.01086509</v>
      </c>
      <c r="F12" s="149">
        <v>523762589.83179063</v>
      </c>
      <c r="H12" s="148">
        <f t="shared" si="0"/>
        <v>0</v>
      </c>
      <c r="I12" s="148">
        <f t="shared" si="0"/>
        <v>0</v>
      </c>
      <c r="J12" s="148">
        <f t="shared" si="0"/>
        <v>0</v>
      </c>
      <c r="K12" s="149">
        <f t="shared" si="0"/>
        <v>0</v>
      </c>
      <c r="L12" s="156">
        <f t="shared" ref="L12:L75" si="2">SUM(I13:K13)-H13</f>
        <v>0</v>
      </c>
      <c r="M12" s="156">
        <f t="shared" si="1"/>
        <v>0</v>
      </c>
    </row>
    <row r="13" spans="1:13">
      <c r="A13" s="157"/>
      <c r="B13" s="151"/>
      <c r="C13" s="141"/>
      <c r="D13" s="141"/>
      <c r="E13" s="141"/>
      <c r="F13" s="152"/>
      <c r="H13" s="158">
        <f t="shared" si="0"/>
        <v>2097213.2326871622</v>
      </c>
      <c r="I13" s="142">
        <f t="shared" si="0"/>
        <v>733267.62584450678</v>
      </c>
      <c r="J13" s="142">
        <f t="shared" si="0"/>
        <v>840183.01701086503</v>
      </c>
      <c r="K13" s="143">
        <f t="shared" si="0"/>
        <v>523762.58983179065</v>
      </c>
      <c r="L13" s="129">
        <f t="shared" si="2"/>
        <v>0</v>
      </c>
      <c r="M13" s="129">
        <f t="shared" si="1"/>
        <v>0</v>
      </c>
    </row>
    <row r="14" spans="1:13" s="155" customFormat="1">
      <c r="A14" s="153" t="s">
        <v>128</v>
      </c>
      <c r="B14" s="154" t="s">
        <v>129</v>
      </c>
      <c r="C14" s="148">
        <v>831195140</v>
      </c>
      <c r="D14" s="148">
        <v>290918299</v>
      </c>
      <c r="E14" s="148">
        <v>332478056</v>
      </c>
      <c r="F14" s="149">
        <v>207798785</v>
      </c>
      <c r="H14" s="158">
        <f t="shared" si="0"/>
        <v>0</v>
      </c>
      <c r="I14" s="142">
        <f t="shared" si="0"/>
        <v>0</v>
      </c>
      <c r="J14" s="142"/>
      <c r="K14" s="143">
        <f t="shared" si="0"/>
        <v>0</v>
      </c>
      <c r="L14" s="156">
        <f t="shared" si="2"/>
        <v>0</v>
      </c>
      <c r="M14" s="156">
        <f t="shared" si="1"/>
        <v>0</v>
      </c>
    </row>
    <row r="15" spans="1:13">
      <c r="A15" s="150" t="s">
        <v>130</v>
      </c>
      <c r="B15" s="151" t="s">
        <v>131</v>
      </c>
      <c r="C15" s="158">
        <v>826195140</v>
      </c>
      <c r="D15" s="142">
        <v>289168299</v>
      </c>
      <c r="E15" s="142">
        <v>330478056</v>
      </c>
      <c r="F15" s="143">
        <v>206548785</v>
      </c>
      <c r="H15" s="158">
        <f t="shared" si="0"/>
        <v>831195.14</v>
      </c>
      <c r="I15" s="142">
        <f t="shared" si="0"/>
        <v>290918.299</v>
      </c>
      <c r="J15" s="142">
        <f t="shared" si="0"/>
        <v>332478.05599999998</v>
      </c>
      <c r="K15" s="143">
        <f t="shared" si="0"/>
        <v>207798.785</v>
      </c>
      <c r="L15" s="129">
        <f t="shared" si="2"/>
        <v>0</v>
      </c>
      <c r="M15" s="129">
        <f t="shared" si="1"/>
        <v>0</v>
      </c>
    </row>
    <row r="16" spans="1:13" ht="12.75" hidden="1" customHeight="1">
      <c r="A16" s="159" t="s">
        <v>132</v>
      </c>
      <c r="B16" s="160" t="s">
        <v>133</v>
      </c>
      <c r="C16" s="158">
        <v>0</v>
      </c>
      <c r="D16" s="142">
        <v>0</v>
      </c>
      <c r="E16" s="142">
        <v>0</v>
      </c>
      <c r="F16" s="143">
        <v>0</v>
      </c>
      <c r="H16" s="158">
        <f t="shared" si="0"/>
        <v>826195.14</v>
      </c>
      <c r="I16" s="142">
        <f t="shared" si="0"/>
        <v>289168.299</v>
      </c>
      <c r="J16" s="142">
        <f t="shared" si="0"/>
        <v>330478.05599999998</v>
      </c>
      <c r="K16" s="143">
        <f t="shared" si="0"/>
        <v>206548.785</v>
      </c>
      <c r="L16" s="129">
        <f t="shared" si="2"/>
        <v>0</v>
      </c>
      <c r="M16" s="129">
        <f t="shared" si="1"/>
        <v>0</v>
      </c>
    </row>
    <row r="17" spans="1:13" ht="12.75" hidden="1" customHeight="1">
      <c r="A17" s="159" t="s">
        <v>134</v>
      </c>
      <c r="B17" s="160" t="s">
        <v>135</v>
      </c>
      <c r="C17" s="158">
        <v>0</v>
      </c>
      <c r="D17" s="142">
        <v>0</v>
      </c>
      <c r="E17" s="142">
        <v>0</v>
      </c>
      <c r="F17" s="143">
        <v>0</v>
      </c>
      <c r="H17" s="158">
        <f t="shared" si="0"/>
        <v>0</v>
      </c>
      <c r="I17" s="142">
        <f t="shared" si="0"/>
        <v>0</v>
      </c>
      <c r="J17" s="142">
        <f t="shared" si="0"/>
        <v>0</v>
      </c>
      <c r="K17" s="143">
        <f t="shared" si="0"/>
        <v>0</v>
      </c>
      <c r="L17" s="129">
        <f t="shared" si="2"/>
        <v>0</v>
      </c>
      <c r="M17" s="129">
        <f t="shared" si="1"/>
        <v>0</v>
      </c>
    </row>
    <row r="18" spans="1:13" ht="12.75" hidden="1" customHeight="1">
      <c r="A18" s="159" t="s">
        <v>136</v>
      </c>
      <c r="B18" s="160" t="s">
        <v>137</v>
      </c>
      <c r="C18" s="158">
        <v>0</v>
      </c>
      <c r="D18" s="142">
        <v>0</v>
      </c>
      <c r="E18" s="142">
        <v>0</v>
      </c>
      <c r="F18" s="143">
        <v>0</v>
      </c>
      <c r="H18" s="141">
        <f t="shared" si="0"/>
        <v>0</v>
      </c>
      <c r="I18" s="142">
        <f t="shared" si="0"/>
        <v>0</v>
      </c>
      <c r="J18" s="142">
        <f t="shared" si="0"/>
        <v>0</v>
      </c>
      <c r="K18" s="143">
        <f t="shared" si="0"/>
        <v>0</v>
      </c>
      <c r="L18" s="129">
        <f t="shared" si="2"/>
        <v>0</v>
      </c>
      <c r="M18" s="129">
        <f t="shared" si="1"/>
        <v>0</v>
      </c>
    </row>
    <row r="19" spans="1:13">
      <c r="A19" s="150" t="s">
        <v>138</v>
      </c>
      <c r="B19" s="151" t="s">
        <v>139</v>
      </c>
      <c r="C19" s="158">
        <v>5000000</v>
      </c>
      <c r="D19" s="142">
        <v>1750000</v>
      </c>
      <c r="E19" s="142">
        <v>2000000</v>
      </c>
      <c r="F19" s="143">
        <v>1250000</v>
      </c>
      <c r="H19" s="148">
        <f t="shared" si="0"/>
        <v>0</v>
      </c>
      <c r="I19" s="148">
        <f t="shared" si="0"/>
        <v>0</v>
      </c>
      <c r="J19" s="148">
        <f t="shared" si="0"/>
        <v>0</v>
      </c>
      <c r="K19" s="149">
        <f t="shared" si="0"/>
        <v>0</v>
      </c>
      <c r="L19" s="129">
        <f t="shared" si="2"/>
        <v>0</v>
      </c>
      <c r="M19" s="129">
        <f t="shared" si="1"/>
        <v>0</v>
      </c>
    </row>
    <row r="20" spans="1:13">
      <c r="A20" s="150"/>
      <c r="B20" s="151"/>
      <c r="C20" s="141"/>
      <c r="D20" s="142"/>
      <c r="E20" s="142"/>
      <c r="F20" s="143"/>
      <c r="H20" s="158">
        <f t="shared" si="0"/>
        <v>5000</v>
      </c>
      <c r="I20" s="142">
        <f t="shared" si="0"/>
        <v>1750</v>
      </c>
      <c r="J20" s="142">
        <f t="shared" si="0"/>
        <v>2000</v>
      </c>
      <c r="K20" s="143">
        <f t="shared" si="0"/>
        <v>1250</v>
      </c>
      <c r="L20" s="129">
        <f t="shared" si="2"/>
        <v>0</v>
      </c>
      <c r="M20" s="129">
        <f t="shared" si="1"/>
        <v>0</v>
      </c>
    </row>
    <row r="21" spans="1:13" s="155" customFormat="1">
      <c r="A21" s="153" t="s">
        <v>140</v>
      </c>
      <c r="B21" s="154" t="s">
        <v>141</v>
      </c>
      <c r="C21" s="148">
        <v>10162873.279999999</v>
      </c>
      <c r="D21" s="148">
        <v>2800000</v>
      </c>
      <c r="E21" s="148">
        <v>5362873.2799999993</v>
      </c>
      <c r="F21" s="149">
        <v>2000000</v>
      </c>
      <c r="H21" s="158">
        <f t="shared" si="0"/>
        <v>0</v>
      </c>
      <c r="I21" s="142">
        <f t="shared" si="0"/>
        <v>0</v>
      </c>
      <c r="J21" s="142">
        <f t="shared" si="0"/>
        <v>0</v>
      </c>
      <c r="K21" s="143">
        <f t="shared" si="0"/>
        <v>0</v>
      </c>
      <c r="L21" s="156">
        <f t="shared" si="2"/>
        <v>0</v>
      </c>
      <c r="M21" s="156">
        <f t="shared" si="1"/>
        <v>0</v>
      </c>
    </row>
    <row r="22" spans="1:13">
      <c r="A22" s="150" t="s">
        <v>142</v>
      </c>
      <c r="B22" s="151" t="s">
        <v>143</v>
      </c>
      <c r="C22" s="158">
        <v>8000000</v>
      </c>
      <c r="D22" s="142">
        <v>2800000</v>
      </c>
      <c r="E22" s="142">
        <v>3200000</v>
      </c>
      <c r="F22" s="143">
        <v>2000000</v>
      </c>
      <c r="H22" s="158">
        <f t="shared" si="0"/>
        <v>10162.87328</v>
      </c>
      <c r="I22" s="142">
        <f t="shared" si="0"/>
        <v>2800</v>
      </c>
      <c r="J22" s="142">
        <f t="shared" si="0"/>
        <v>5362.8732799999989</v>
      </c>
      <c r="K22" s="143">
        <f t="shared" si="0"/>
        <v>2000</v>
      </c>
      <c r="L22" s="129">
        <f t="shared" si="2"/>
        <v>0</v>
      </c>
      <c r="M22" s="129">
        <f t="shared" si="1"/>
        <v>0</v>
      </c>
    </row>
    <row r="23" spans="1:13" ht="12.75" hidden="1" customHeight="1">
      <c r="A23" s="161" t="s">
        <v>144</v>
      </c>
      <c r="B23" s="151" t="s">
        <v>145</v>
      </c>
      <c r="C23" s="158">
        <v>0</v>
      </c>
      <c r="D23" s="142">
        <v>0</v>
      </c>
      <c r="E23" s="142">
        <v>0</v>
      </c>
      <c r="F23" s="143">
        <v>0</v>
      </c>
      <c r="H23" s="158">
        <f t="shared" si="0"/>
        <v>8000</v>
      </c>
      <c r="I23" s="142">
        <f t="shared" si="0"/>
        <v>2800</v>
      </c>
      <c r="J23" s="142">
        <f t="shared" si="0"/>
        <v>3200</v>
      </c>
      <c r="K23" s="143">
        <f t="shared" si="0"/>
        <v>2000</v>
      </c>
      <c r="L23" s="129">
        <f t="shared" si="2"/>
        <v>0</v>
      </c>
      <c r="M23" s="129">
        <f t="shared" si="1"/>
        <v>0</v>
      </c>
    </row>
    <row r="24" spans="1:13" ht="12.75" hidden="1" customHeight="1">
      <c r="A24" s="161" t="s">
        <v>146</v>
      </c>
      <c r="B24" s="151" t="s">
        <v>147</v>
      </c>
      <c r="C24" s="158">
        <v>0</v>
      </c>
      <c r="D24" s="142">
        <v>0</v>
      </c>
      <c r="E24" s="142">
        <v>0</v>
      </c>
      <c r="F24" s="143">
        <v>0</v>
      </c>
      <c r="H24" s="158">
        <f t="shared" si="0"/>
        <v>0</v>
      </c>
      <c r="I24" s="142">
        <f t="shared" si="0"/>
        <v>0</v>
      </c>
      <c r="J24" s="142">
        <f t="shared" si="0"/>
        <v>0</v>
      </c>
      <c r="K24" s="143">
        <f t="shared" si="0"/>
        <v>0</v>
      </c>
      <c r="L24" s="129">
        <f t="shared" si="2"/>
        <v>0</v>
      </c>
      <c r="M24" s="129">
        <f t="shared" si="1"/>
        <v>0</v>
      </c>
    </row>
    <row r="25" spans="1:13" ht="12.75" hidden="1" customHeight="1">
      <c r="A25" s="161" t="s">
        <v>148</v>
      </c>
      <c r="B25" s="151" t="s">
        <v>149</v>
      </c>
      <c r="C25" s="158">
        <v>0</v>
      </c>
      <c r="D25" s="142">
        <v>0</v>
      </c>
      <c r="E25" s="142">
        <v>0</v>
      </c>
      <c r="F25" s="143">
        <v>0</v>
      </c>
      <c r="H25" s="141">
        <f t="shared" si="0"/>
        <v>0</v>
      </c>
      <c r="I25" s="142">
        <f t="shared" si="0"/>
        <v>0</v>
      </c>
      <c r="J25" s="142">
        <f t="shared" si="0"/>
        <v>0</v>
      </c>
      <c r="K25" s="143">
        <f t="shared" si="0"/>
        <v>0</v>
      </c>
      <c r="L25" s="129">
        <f t="shared" si="2"/>
        <v>0</v>
      </c>
      <c r="M25" s="129">
        <f t="shared" si="1"/>
        <v>0</v>
      </c>
    </row>
    <row r="26" spans="1:13">
      <c r="A26" s="150" t="s">
        <v>150</v>
      </c>
      <c r="B26" s="151" t="s">
        <v>151</v>
      </c>
      <c r="C26" s="158">
        <v>2162873.2799999998</v>
      </c>
      <c r="D26" s="142">
        <v>0</v>
      </c>
      <c r="E26" s="142">
        <v>2162873.2799999998</v>
      </c>
      <c r="F26" s="143">
        <v>0</v>
      </c>
      <c r="H26" s="148">
        <f t="shared" si="0"/>
        <v>0</v>
      </c>
      <c r="I26" s="148">
        <f t="shared" si="0"/>
        <v>0</v>
      </c>
      <c r="J26" s="148">
        <f t="shared" si="0"/>
        <v>0</v>
      </c>
      <c r="K26" s="149">
        <f t="shared" si="0"/>
        <v>0</v>
      </c>
      <c r="L26" s="129">
        <f t="shared" si="2"/>
        <v>0</v>
      </c>
      <c r="M26" s="129">
        <f t="shared" si="1"/>
        <v>0</v>
      </c>
    </row>
    <row r="27" spans="1:13">
      <c r="A27" s="150"/>
      <c r="B27" s="151"/>
      <c r="C27" s="141"/>
      <c r="D27" s="142"/>
      <c r="E27" s="142"/>
      <c r="F27" s="143"/>
      <c r="H27" s="158">
        <f t="shared" ref="H27:K90" si="3">+C26/1000</f>
        <v>2162.8732799999998</v>
      </c>
      <c r="I27" s="142">
        <f t="shared" si="3"/>
        <v>0</v>
      </c>
      <c r="J27" s="142">
        <f t="shared" si="3"/>
        <v>2162.8732799999998</v>
      </c>
      <c r="K27" s="143">
        <f t="shared" si="3"/>
        <v>0</v>
      </c>
      <c r="L27" s="129">
        <f t="shared" si="2"/>
        <v>0</v>
      </c>
      <c r="M27" s="129">
        <f t="shared" si="1"/>
        <v>0</v>
      </c>
    </row>
    <row r="28" spans="1:13" s="155" customFormat="1">
      <c r="A28" s="153" t="s">
        <v>152</v>
      </c>
      <c r="B28" s="154" t="s">
        <v>153</v>
      </c>
      <c r="C28" s="148">
        <v>917729527.22000003</v>
      </c>
      <c r="D28" s="148">
        <v>321205334.52699995</v>
      </c>
      <c r="E28" s="148">
        <v>367091810.88800001</v>
      </c>
      <c r="F28" s="149">
        <v>229432381.80500001</v>
      </c>
      <c r="H28" s="158">
        <f t="shared" si="3"/>
        <v>0</v>
      </c>
      <c r="I28" s="142">
        <f t="shared" si="3"/>
        <v>0</v>
      </c>
      <c r="J28" s="142">
        <f t="shared" si="3"/>
        <v>0</v>
      </c>
      <c r="K28" s="143">
        <f t="shared" si="3"/>
        <v>0</v>
      </c>
      <c r="L28" s="156">
        <f t="shared" si="2"/>
        <v>0</v>
      </c>
      <c r="M28" s="156">
        <f t="shared" si="1"/>
        <v>0</v>
      </c>
    </row>
    <row r="29" spans="1:13">
      <c r="A29" s="150" t="s">
        <v>154</v>
      </c>
      <c r="B29" s="151" t="s">
        <v>155</v>
      </c>
      <c r="C29" s="158">
        <v>283570048</v>
      </c>
      <c r="D29" s="142">
        <v>99249516.799999997</v>
      </c>
      <c r="E29" s="142">
        <v>113428019.2</v>
      </c>
      <c r="F29" s="143">
        <v>70892512</v>
      </c>
      <c r="H29" s="158">
        <f t="shared" si="3"/>
        <v>917729.52722000005</v>
      </c>
      <c r="I29" s="142">
        <f t="shared" si="3"/>
        <v>321205.33452699997</v>
      </c>
      <c r="J29" s="142">
        <f t="shared" si="3"/>
        <v>367091.81088800001</v>
      </c>
      <c r="K29" s="143">
        <f t="shared" si="3"/>
        <v>229432.38180500001</v>
      </c>
      <c r="L29" s="129">
        <f t="shared" si="2"/>
        <v>0</v>
      </c>
      <c r="M29" s="129">
        <f t="shared" si="1"/>
        <v>0</v>
      </c>
    </row>
    <row r="30" spans="1:13">
      <c r="A30" s="150" t="s">
        <v>156</v>
      </c>
      <c r="B30" s="151" t="s">
        <v>157</v>
      </c>
      <c r="C30" s="158">
        <v>296833584</v>
      </c>
      <c r="D30" s="142">
        <v>103891754.39999999</v>
      </c>
      <c r="E30" s="142">
        <v>118733433.59999999</v>
      </c>
      <c r="F30" s="143">
        <v>74208396</v>
      </c>
      <c r="H30" s="158">
        <f t="shared" si="3"/>
        <v>283570.04800000001</v>
      </c>
      <c r="I30" s="142">
        <f t="shared" si="3"/>
        <v>99249.516799999998</v>
      </c>
      <c r="J30" s="142">
        <f t="shared" si="3"/>
        <v>113428.01920000001</v>
      </c>
      <c r="K30" s="143">
        <f t="shared" si="3"/>
        <v>70892.512000000002</v>
      </c>
      <c r="L30" s="129">
        <f t="shared" si="2"/>
        <v>0</v>
      </c>
      <c r="M30" s="129">
        <f t="shared" si="1"/>
        <v>0</v>
      </c>
    </row>
    <row r="31" spans="1:13">
      <c r="A31" s="150" t="s">
        <v>158</v>
      </c>
      <c r="B31" s="151" t="s">
        <v>159</v>
      </c>
      <c r="C31" s="158">
        <v>134374368.22</v>
      </c>
      <c r="D31" s="142">
        <v>47031028.876999997</v>
      </c>
      <c r="E31" s="142">
        <v>53749747.288000003</v>
      </c>
      <c r="F31" s="143">
        <v>33593592.055</v>
      </c>
      <c r="H31" s="158">
        <f t="shared" si="3"/>
        <v>296833.58399999997</v>
      </c>
      <c r="I31" s="142">
        <f t="shared" si="3"/>
        <v>103891.75439999999</v>
      </c>
      <c r="J31" s="142">
        <f t="shared" si="3"/>
        <v>118733.43359999999</v>
      </c>
      <c r="K31" s="143">
        <f t="shared" si="3"/>
        <v>74208.395999999993</v>
      </c>
      <c r="L31" s="129">
        <f t="shared" si="2"/>
        <v>0</v>
      </c>
      <c r="M31" s="129">
        <f t="shared" si="1"/>
        <v>0</v>
      </c>
    </row>
    <row r="32" spans="1:13">
      <c r="A32" s="150" t="s">
        <v>160</v>
      </c>
      <c r="B32" s="151" t="s">
        <v>161</v>
      </c>
      <c r="C32" s="158">
        <v>116247363</v>
      </c>
      <c r="D32" s="142">
        <v>40686577.049999997</v>
      </c>
      <c r="E32" s="142">
        <v>46498945.200000003</v>
      </c>
      <c r="F32" s="143">
        <v>29061840.75</v>
      </c>
      <c r="H32" s="141">
        <f t="shared" si="3"/>
        <v>134374.36822</v>
      </c>
      <c r="I32" s="142">
        <f t="shared" si="3"/>
        <v>47031.028876999997</v>
      </c>
      <c r="J32" s="142">
        <f t="shared" si="3"/>
        <v>53749.747288000006</v>
      </c>
      <c r="K32" s="143">
        <f t="shared" si="3"/>
        <v>33593.592055000001</v>
      </c>
      <c r="L32" s="129">
        <f t="shared" si="2"/>
        <v>0</v>
      </c>
      <c r="M32" s="129">
        <f t="shared" si="1"/>
        <v>0</v>
      </c>
    </row>
    <row r="33" spans="1:13">
      <c r="A33" s="150" t="s">
        <v>162</v>
      </c>
      <c r="B33" s="151" t="s">
        <v>163</v>
      </c>
      <c r="C33" s="158">
        <v>86704164</v>
      </c>
      <c r="D33" s="142">
        <v>30346457.400000002</v>
      </c>
      <c r="E33" s="142">
        <v>34681665.600000001</v>
      </c>
      <c r="F33" s="143">
        <v>21676041</v>
      </c>
      <c r="H33" s="148">
        <f t="shared" si="3"/>
        <v>116247.363</v>
      </c>
      <c r="I33" s="148">
        <f t="shared" si="3"/>
        <v>40686.57705</v>
      </c>
      <c r="J33" s="148">
        <f t="shared" si="3"/>
        <v>46498.945200000002</v>
      </c>
      <c r="K33" s="149">
        <f t="shared" si="3"/>
        <v>29061.840749999999</v>
      </c>
      <c r="L33" s="129">
        <f t="shared" si="2"/>
        <v>0</v>
      </c>
      <c r="M33" s="129">
        <f t="shared" si="1"/>
        <v>0</v>
      </c>
    </row>
    <row r="34" spans="1:13">
      <c r="A34" s="150"/>
      <c r="B34" s="151"/>
      <c r="C34" s="141"/>
      <c r="D34" s="142"/>
      <c r="E34" s="142"/>
      <c r="F34" s="143"/>
      <c r="H34" s="158">
        <f t="shared" si="3"/>
        <v>86704.164000000004</v>
      </c>
      <c r="I34" s="142">
        <f t="shared" si="3"/>
        <v>30346.457400000003</v>
      </c>
      <c r="J34" s="142">
        <f t="shared" si="3"/>
        <v>34681.6656</v>
      </c>
      <c r="K34" s="143">
        <f t="shared" si="3"/>
        <v>21676.041000000001</v>
      </c>
      <c r="L34" s="129">
        <f t="shared" si="2"/>
        <v>0</v>
      </c>
      <c r="M34" s="129">
        <f t="shared" si="1"/>
        <v>0</v>
      </c>
    </row>
    <row r="35" spans="1:13" s="155" customFormat="1" ht="27" customHeight="1">
      <c r="A35" s="153" t="s">
        <v>164</v>
      </c>
      <c r="B35" s="154" t="s">
        <v>165</v>
      </c>
      <c r="C35" s="148">
        <v>158233862.54749995</v>
      </c>
      <c r="D35" s="148">
        <v>55381851.89162498</v>
      </c>
      <c r="E35" s="148">
        <v>63293545.018999994</v>
      </c>
      <c r="F35" s="149">
        <v>39558465.636874989</v>
      </c>
      <c r="H35" s="158">
        <f t="shared" si="3"/>
        <v>0</v>
      </c>
      <c r="I35" s="142">
        <f t="shared" si="3"/>
        <v>0</v>
      </c>
      <c r="J35" s="142">
        <f t="shared" si="3"/>
        <v>0</v>
      </c>
      <c r="K35" s="143">
        <f t="shared" si="3"/>
        <v>0</v>
      </c>
      <c r="L35" s="156">
        <f t="shared" si="2"/>
        <v>0</v>
      </c>
      <c r="M35" s="156">
        <f t="shared" si="1"/>
        <v>0</v>
      </c>
    </row>
    <row r="36" spans="1:13" ht="30" customHeight="1">
      <c r="A36" s="150" t="s">
        <v>166</v>
      </c>
      <c r="B36" s="151" t="s">
        <v>167</v>
      </c>
      <c r="C36" s="158">
        <v>150085902.65749997</v>
      </c>
      <c r="D36" s="142">
        <v>52530065.930124983</v>
      </c>
      <c r="E36" s="142">
        <v>60034361.062999994</v>
      </c>
      <c r="F36" s="143">
        <v>37521475.664374992</v>
      </c>
      <c r="G36" s="132"/>
      <c r="H36" s="158">
        <f t="shared" si="3"/>
        <v>158233.86254749994</v>
      </c>
      <c r="I36" s="142">
        <f t="shared" si="3"/>
        <v>55381.851891624981</v>
      </c>
      <c r="J36" s="142">
        <f t="shared" si="3"/>
        <v>63293.545018999997</v>
      </c>
      <c r="K36" s="143">
        <f t="shared" si="3"/>
        <v>39558.465636874986</v>
      </c>
      <c r="L36" s="129">
        <f t="shared" si="2"/>
        <v>0</v>
      </c>
      <c r="M36" s="129">
        <f t="shared" si="1"/>
        <v>0</v>
      </c>
    </row>
    <row r="37" spans="1:13" ht="12.75" hidden="1" customHeight="1">
      <c r="A37" s="159" t="s">
        <v>168</v>
      </c>
      <c r="B37" s="160" t="s">
        <v>169</v>
      </c>
      <c r="C37" s="158">
        <v>0</v>
      </c>
      <c r="D37" s="142">
        <v>0</v>
      </c>
      <c r="E37" s="142">
        <v>0</v>
      </c>
      <c r="F37" s="143">
        <v>0</v>
      </c>
      <c r="H37" s="158">
        <f t="shared" si="3"/>
        <v>150085.90265749997</v>
      </c>
      <c r="I37" s="142">
        <f t="shared" si="3"/>
        <v>52530.065930124983</v>
      </c>
      <c r="J37" s="142">
        <f t="shared" si="3"/>
        <v>60034.361062999997</v>
      </c>
      <c r="K37" s="143">
        <f t="shared" si="3"/>
        <v>37521.475664374993</v>
      </c>
      <c r="L37" s="129">
        <f t="shared" si="2"/>
        <v>0</v>
      </c>
      <c r="M37" s="129">
        <f t="shared" si="1"/>
        <v>0</v>
      </c>
    </row>
    <row r="38" spans="1:13" ht="12.75" hidden="1" customHeight="1">
      <c r="A38" s="159" t="s">
        <v>170</v>
      </c>
      <c r="B38" s="160" t="s">
        <v>171</v>
      </c>
      <c r="C38" s="158">
        <v>0</v>
      </c>
      <c r="D38" s="142">
        <v>0</v>
      </c>
      <c r="E38" s="142">
        <v>0</v>
      </c>
      <c r="F38" s="143">
        <v>0</v>
      </c>
      <c r="H38" s="158">
        <f t="shared" si="3"/>
        <v>0</v>
      </c>
      <c r="I38" s="142">
        <f t="shared" si="3"/>
        <v>0</v>
      </c>
      <c r="J38" s="142">
        <f t="shared" si="3"/>
        <v>0</v>
      </c>
      <c r="K38" s="143">
        <f t="shared" si="3"/>
        <v>0</v>
      </c>
      <c r="L38" s="129">
        <f t="shared" si="2"/>
        <v>0</v>
      </c>
      <c r="M38" s="129">
        <f t="shared" si="1"/>
        <v>0</v>
      </c>
    </row>
    <row r="39" spans="1:13" ht="12.75" hidden="1" customHeight="1">
      <c r="A39" s="150" t="s">
        <v>172</v>
      </c>
      <c r="B39" s="151" t="s">
        <v>173</v>
      </c>
      <c r="C39" s="158">
        <v>0</v>
      </c>
      <c r="D39" s="142">
        <v>0</v>
      </c>
      <c r="E39" s="142">
        <v>0</v>
      </c>
      <c r="F39" s="143">
        <v>0</v>
      </c>
      <c r="H39" s="141">
        <f t="shared" si="3"/>
        <v>0</v>
      </c>
      <c r="I39" s="142">
        <f t="shared" si="3"/>
        <v>0</v>
      </c>
      <c r="J39" s="142">
        <f t="shared" si="3"/>
        <v>0</v>
      </c>
      <c r="K39" s="143">
        <f t="shared" si="3"/>
        <v>0</v>
      </c>
      <c r="L39" s="129">
        <f t="shared" si="2"/>
        <v>0</v>
      </c>
      <c r="M39" s="129">
        <f t="shared" si="1"/>
        <v>0</v>
      </c>
    </row>
    <row r="40" spans="1:13" ht="25.5">
      <c r="A40" s="150" t="s">
        <v>174</v>
      </c>
      <c r="B40" s="151" t="s">
        <v>175</v>
      </c>
      <c r="C40" s="158">
        <v>8147959.8899999959</v>
      </c>
      <c r="D40" s="142">
        <v>2851785.9614999983</v>
      </c>
      <c r="E40" s="142">
        <v>3259183.9559999984</v>
      </c>
      <c r="F40" s="143">
        <v>2036989.972499999</v>
      </c>
      <c r="H40" s="148">
        <f t="shared" si="3"/>
        <v>0</v>
      </c>
      <c r="I40" s="148">
        <f t="shared" si="3"/>
        <v>0</v>
      </c>
      <c r="J40" s="148">
        <f t="shared" si="3"/>
        <v>0</v>
      </c>
      <c r="K40" s="149">
        <f t="shared" si="3"/>
        <v>0</v>
      </c>
      <c r="L40" s="129">
        <f t="shared" si="2"/>
        <v>0</v>
      </c>
      <c r="M40" s="129">
        <f t="shared" si="1"/>
        <v>0</v>
      </c>
    </row>
    <row r="41" spans="1:13">
      <c r="A41" s="150"/>
      <c r="B41" s="151"/>
      <c r="C41" s="141"/>
      <c r="D41" s="142"/>
      <c r="E41" s="142"/>
      <c r="F41" s="143"/>
      <c r="H41" s="158">
        <f t="shared" si="3"/>
        <v>8147.9598899999955</v>
      </c>
      <c r="I41" s="142">
        <f t="shared" si="3"/>
        <v>2851.7859614999984</v>
      </c>
      <c r="J41" s="142">
        <f t="shared" si="3"/>
        <v>3259.1839559999985</v>
      </c>
      <c r="K41" s="143">
        <f t="shared" si="3"/>
        <v>2036.9899724999989</v>
      </c>
      <c r="L41" s="129">
        <f t="shared" si="2"/>
        <v>0</v>
      </c>
      <c r="M41" s="129">
        <f t="shared" si="1"/>
        <v>0</v>
      </c>
    </row>
    <row r="42" spans="1:13" s="162" customFormat="1" ht="40.5" customHeight="1">
      <c r="A42" s="153" t="s">
        <v>176</v>
      </c>
      <c r="B42" s="154" t="s">
        <v>177</v>
      </c>
      <c r="C42" s="148">
        <v>179891829.6396625</v>
      </c>
      <c r="D42" s="148">
        <v>62962140.425881878</v>
      </c>
      <c r="E42" s="148">
        <v>71956731.823865011</v>
      </c>
      <c r="F42" s="149">
        <v>44972957.38991563</v>
      </c>
      <c r="H42" s="158">
        <f t="shared" si="3"/>
        <v>0</v>
      </c>
      <c r="I42" s="142">
        <f t="shared" si="3"/>
        <v>0</v>
      </c>
      <c r="J42" s="142">
        <f t="shared" si="3"/>
        <v>0</v>
      </c>
      <c r="K42" s="143">
        <f t="shared" si="3"/>
        <v>0</v>
      </c>
      <c r="L42" s="163">
        <f t="shared" si="2"/>
        <v>0</v>
      </c>
      <c r="M42" s="163">
        <f t="shared" si="1"/>
        <v>0</v>
      </c>
    </row>
    <row r="43" spans="1:13" ht="25.5">
      <c r="A43" s="150" t="s">
        <v>178</v>
      </c>
      <c r="B43" s="151" t="s">
        <v>179</v>
      </c>
      <c r="C43" s="158">
        <v>84612621.947500035</v>
      </c>
      <c r="D43" s="142">
        <v>29614417.681625009</v>
      </c>
      <c r="E43" s="142">
        <v>33845048.779000014</v>
      </c>
      <c r="F43" s="143">
        <v>21153155.486875009</v>
      </c>
      <c r="G43" s="132"/>
      <c r="H43" s="158">
        <f t="shared" si="3"/>
        <v>179891.82963966249</v>
      </c>
      <c r="I43" s="142">
        <f t="shared" si="3"/>
        <v>62962.14042588188</v>
      </c>
      <c r="J43" s="142">
        <f t="shared" si="3"/>
        <v>71956.731823865004</v>
      </c>
      <c r="K43" s="143">
        <f t="shared" si="3"/>
        <v>44972.957389915631</v>
      </c>
      <c r="L43" s="129">
        <f t="shared" si="2"/>
        <v>0</v>
      </c>
      <c r="M43" s="129">
        <f t="shared" si="1"/>
        <v>0</v>
      </c>
    </row>
    <row r="44" spans="1:13" ht="24.75" customHeight="1">
      <c r="A44" s="150" t="s">
        <v>180</v>
      </c>
      <c r="B44" s="160" t="s">
        <v>181</v>
      </c>
      <c r="C44" s="158">
        <v>24152523.7615375</v>
      </c>
      <c r="D44" s="142">
        <v>8453383.3165381253</v>
      </c>
      <c r="E44" s="142">
        <v>9661009.5046149995</v>
      </c>
      <c r="F44" s="143">
        <v>6038130.9403843749</v>
      </c>
      <c r="H44" s="158">
        <f t="shared" si="3"/>
        <v>84612.62194750004</v>
      </c>
      <c r="I44" s="142">
        <f t="shared" si="3"/>
        <v>29614.417681625007</v>
      </c>
      <c r="J44" s="142">
        <f t="shared" si="3"/>
        <v>33845.048779000012</v>
      </c>
      <c r="K44" s="143">
        <f t="shared" si="3"/>
        <v>21153.15548687501</v>
      </c>
      <c r="L44" s="129">
        <f t="shared" si="2"/>
        <v>0</v>
      </c>
      <c r="M44" s="129">
        <f t="shared" si="1"/>
        <v>0</v>
      </c>
    </row>
    <row r="45" spans="1:13">
      <c r="A45" s="150" t="s">
        <v>182</v>
      </c>
      <c r="B45" s="151" t="s">
        <v>183</v>
      </c>
      <c r="C45" s="158">
        <v>48296797.860624999</v>
      </c>
      <c r="D45" s="142">
        <v>16903879.251218747</v>
      </c>
      <c r="E45" s="142">
        <v>19318719.144250002</v>
      </c>
      <c r="F45" s="143">
        <v>12074199.46515625</v>
      </c>
      <c r="H45" s="158">
        <f t="shared" si="3"/>
        <v>24152.523761537501</v>
      </c>
      <c r="I45" s="142">
        <f t="shared" si="3"/>
        <v>8453.3833165381257</v>
      </c>
      <c r="J45" s="142">
        <f t="shared" si="3"/>
        <v>9661.009504615</v>
      </c>
      <c r="K45" s="143">
        <f t="shared" si="3"/>
        <v>6038.1309403843752</v>
      </c>
      <c r="L45" s="129">
        <f t="shared" si="2"/>
        <v>0</v>
      </c>
      <c r="M45" s="129">
        <f t="shared" si="1"/>
        <v>0</v>
      </c>
    </row>
    <row r="46" spans="1:13" ht="12.75" hidden="1" customHeight="1">
      <c r="A46" s="150" t="s">
        <v>184</v>
      </c>
      <c r="B46" s="151" t="s">
        <v>185</v>
      </c>
      <c r="C46" s="158">
        <v>0</v>
      </c>
      <c r="D46" s="142">
        <v>0</v>
      </c>
      <c r="E46" s="142">
        <v>0</v>
      </c>
      <c r="F46" s="143">
        <v>0</v>
      </c>
      <c r="H46" s="141">
        <f t="shared" si="3"/>
        <v>48296.797860624996</v>
      </c>
      <c r="I46" s="142">
        <f t="shared" si="3"/>
        <v>16903.879251218747</v>
      </c>
      <c r="J46" s="142">
        <f t="shared" si="3"/>
        <v>19318.719144250001</v>
      </c>
      <c r="K46" s="143">
        <f t="shared" si="3"/>
        <v>12074.199465156249</v>
      </c>
      <c r="L46" s="129">
        <f t="shared" si="2"/>
        <v>0</v>
      </c>
      <c r="M46" s="129">
        <f t="shared" si="1"/>
        <v>0</v>
      </c>
    </row>
    <row r="47" spans="1:13" ht="27" customHeight="1">
      <c r="A47" s="159" t="s">
        <v>186</v>
      </c>
      <c r="B47" s="160" t="s">
        <v>187</v>
      </c>
      <c r="C47" s="158">
        <v>22829886.069999985</v>
      </c>
      <c r="D47" s="142">
        <v>7990460.1764999954</v>
      </c>
      <c r="E47" s="142">
        <v>9131954.395999996</v>
      </c>
      <c r="F47" s="143">
        <v>5707471.4974999968</v>
      </c>
      <c r="H47" s="158">
        <f t="shared" si="3"/>
        <v>0</v>
      </c>
      <c r="I47" s="158">
        <f t="shared" si="3"/>
        <v>0</v>
      </c>
      <c r="J47" s="158">
        <f t="shared" si="3"/>
        <v>0</v>
      </c>
      <c r="K47" s="164">
        <f t="shared" si="3"/>
        <v>0</v>
      </c>
      <c r="L47" s="129">
        <f t="shared" si="2"/>
        <v>0</v>
      </c>
      <c r="M47" s="129">
        <f t="shared" si="1"/>
        <v>0</v>
      </c>
    </row>
    <row r="48" spans="1:13">
      <c r="A48" s="150"/>
      <c r="B48" s="151"/>
      <c r="C48" s="141"/>
      <c r="D48" s="142"/>
      <c r="E48" s="142"/>
      <c r="F48" s="143"/>
      <c r="H48" s="158">
        <f t="shared" si="3"/>
        <v>22829.886069999986</v>
      </c>
      <c r="I48" s="142">
        <f t="shared" si="3"/>
        <v>7990.4601764999952</v>
      </c>
      <c r="J48" s="142">
        <f t="shared" si="3"/>
        <v>9131.9543959999955</v>
      </c>
      <c r="K48" s="143">
        <f t="shared" si="3"/>
        <v>5707.471497499997</v>
      </c>
      <c r="L48" s="129">
        <f t="shared" si="2"/>
        <v>0</v>
      </c>
      <c r="M48" s="129">
        <f t="shared" si="1"/>
        <v>0</v>
      </c>
    </row>
    <row r="49" spans="1:13" ht="12.75" hidden="1" customHeight="1">
      <c r="A49" s="153" t="s">
        <v>188</v>
      </c>
      <c r="B49" s="154" t="s">
        <v>189</v>
      </c>
      <c r="C49" s="158">
        <v>0</v>
      </c>
      <c r="D49" s="158">
        <v>0</v>
      </c>
      <c r="E49" s="158">
        <v>0</v>
      </c>
      <c r="F49" s="164">
        <v>0</v>
      </c>
      <c r="H49" s="158">
        <f t="shared" si="3"/>
        <v>0</v>
      </c>
      <c r="I49" s="142">
        <f t="shared" si="3"/>
        <v>0</v>
      </c>
      <c r="J49" s="142">
        <f t="shared" si="3"/>
        <v>0</v>
      </c>
      <c r="K49" s="143">
        <f t="shared" si="3"/>
        <v>0</v>
      </c>
      <c r="L49" s="129">
        <f t="shared" si="2"/>
        <v>0</v>
      </c>
      <c r="M49" s="129">
        <f t="shared" si="1"/>
        <v>0</v>
      </c>
    </row>
    <row r="50" spans="1:13" ht="12.75" hidden="1" customHeight="1">
      <c r="A50" s="159" t="s">
        <v>190</v>
      </c>
      <c r="B50" s="160" t="s">
        <v>191</v>
      </c>
      <c r="C50" s="158">
        <v>0</v>
      </c>
      <c r="D50" s="142">
        <v>0</v>
      </c>
      <c r="E50" s="142">
        <v>0</v>
      </c>
      <c r="F50" s="143">
        <v>0</v>
      </c>
      <c r="H50" s="141">
        <f t="shared" si="3"/>
        <v>0</v>
      </c>
      <c r="I50" s="142">
        <f t="shared" si="3"/>
        <v>0</v>
      </c>
      <c r="J50" s="142">
        <f t="shared" si="3"/>
        <v>0</v>
      </c>
      <c r="K50" s="143">
        <f t="shared" si="3"/>
        <v>0</v>
      </c>
      <c r="L50" s="129">
        <f t="shared" si="2"/>
        <v>0</v>
      </c>
      <c r="M50" s="129">
        <f t="shared" si="1"/>
        <v>0</v>
      </c>
    </row>
    <row r="51" spans="1:13" ht="12.75" hidden="1" customHeight="1">
      <c r="A51" s="159" t="s">
        <v>192</v>
      </c>
      <c r="B51" s="160" t="s">
        <v>193</v>
      </c>
      <c r="C51" s="158">
        <v>0</v>
      </c>
      <c r="D51" s="142">
        <v>0</v>
      </c>
      <c r="E51" s="142">
        <v>0</v>
      </c>
      <c r="F51" s="143">
        <v>0</v>
      </c>
      <c r="H51" s="148">
        <f t="shared" si="3"/>
        <v>0</v>
      </c>
      <c r="I51" s="148">
        <f t="shared" si="3"/>
        <v>0</v>
      </c>
      <c r="J51" s="148">
        <f t="shared" si="3"/>
        <v>0</v>
      </c>
      <c r="K51" s="149">
        <f t="shared" si="3"/>
        <v>0</v>
      </c>
      <c r="L51" s="129">
        <f t="shared" si="2"/>
        <v>0</v>
      </c>
      <c r="M51" s="129">
        <f t="shared" si="1"/>
        <v>0</v>
      </c>
    </row>
    <row r="52" spans="1:13" ht="12.75" customHeight="1">
      <c r="A52" s="159"/>
      <c r="B52" s="160"/>
      <c r="C52" s="141"/>
      <c r="D52" s="142"/>
      <c r="E52" s="142"/>
      <c r="F52" s="143"/>
      <c r="H52" s="141">
        <f t="shared" si="3"/>
        <v>0</v>
      </c>
      <c r="I52" s="142">
        <f t="shared" si="3"/>
        <v>0</v>
      </c>
      <c r="J52" s="142">
        <f t="shared" si="3"/>
        <v>0</v>
      </c>
      <c r="K52" s="143">
        <f t="shared" si="3"/>
        <v>0</v>
      </c>
      <c r="L52" s="129">
        <f t="shared" si="2"/>
        <v>0</v>
      </c>
      <c r="M52" s="129">
        <f t="shared" si="1"/>
        <v>0</v>
      </c>
    </row>
    <row r="53" spans="1:13" s="155" customFormat="1">
      <c r="A53" s="153">
        <v>1</v>
      </c>
      <c r="B53" s="154" t="s">
        <v>194</v>
      </c>
      <c r="C53" s="148">
        <v>911242876.30999994</v>
      </c>
      <c r="D53" s="148">
        <v>484264948.67000002</v>
      </c>
      <c r="E53" s="148">
        <v>202884731.47999999</v>
      </c>
      <c r="F53" s="149">
        <v>224093196.16000003</v>
      </c>
      <c r="H53" s="148">
        <f t="shared" si="3"/>
        <v>0</v>
      </c>
      <c r="I53" s="148">
        <f t="shared" si="3"/>
        <v>0</v>
      </c>
      <c r="J53" s="148">
        <f t="shared" si="3"/>
        <v>0</v>
      </c>
      <c r="K53" s="149">
        <f t="shared" si="3"/>
        <v>0</v>
      </c>
      <c r="L53" s="156">
        <f t="shared" si="2"/>
        <v>0</v>
      </c>
      <c r="M53" s="156">
        <f t="shared" si="1"/>
        <v>0</v>
      </c>
    </row>
    <row r="54" spans="1:13">
      <c r="A54" s="150"/>
      <c r="B54" s="151"/>
      <c r="C54" s="141"/>
      <c r="D54" s="142"/>
      <c r="E54" s="142"/>
      <c r="F54" s="143"/>
      <c r="H54" s="158">
        <f t="shared" si="3"/>
        <v>911242.87630999996</v>
      </c>
      <c r="I54" s="142">
        <f t="shared" si="3"/>
        <v>484264.94867000001</v>
      </c>
      <c r="J54" s="142">
        <f t="shared" si="3"/>
        <v>202884.73147999999</v>
      </c>
      <c r="K54" s="143">
        <f t="shared" si="3"/>
        <v>224093.19616000002</v>
      </c>
      <c r="L54" s="129">
        <f t="shared" si="2"/>
        <v>0</v>
      </c>
      <c r="M54" s="129">
        <f t="shared" si="1"/>
        <v>0</v>
      </c>
    </row>
    <row r="55" spans="1:13" s="155" customFormat="1" ht="12.75" hidden="1" customHeight="1">
      <c r="A55" s="153" t="s">
        <v>195</v>
      </c>
      <c r="B55" s="154" t="s">
        <v>196</v>
      </c>
      <c r="C55" s="148">
        <v>0</v>
      </c>
      <c r="D55" s="148">
        <v>0</v>
      </c>
      <c r="E55" s="148">
        <v>0</v>
      </c>
      <c r="F55" s="149">
        <v>0</v>
      </c>
      <c r="H55" s="158">
        <f t="shared" si="3"/>
        <v>0</v>
      </c>
      <c r="I55" s="142">
        <f t="shared" si="3"/>
        <v>0</v>
      </c>
      <c r="J55" s="142">
        <f t="shared" si="3"/>
        <v>0</v>
      </c>
      <c r="K55" s="143">
        <f t="shared" si="3"/>
        <v>0</v>
      </c>
      <c r="L55" s="156">
        <f t="shared" si="2"/>
        <v>0</v>
      </c>
      <c r="M55" s="156">
        <f t="shared" si="1"/>
        <v>0</v>
      </c>
    </row>
    <row r="56" spans="1:13" ht="12.75" hidden="1" customHeight="1">
      <c r="A56" s="159" t="s">
        <v>197</v>
      </c>
      <c r="B56" s="160" t="s">
        <v>198</v>
      </c>
      <c r="C56" s="158">
        <v>0</v>
      </c>
      <c r="D56" s="142">
        <v>0</v>
      </c>
      <c r="E56" s="142">
        <v>0</v>
      </c>
      <c r="F56" s="143">
        <v>0</v>
      </c>
      <c r="H56" s="158">
        <f t="shared" si="3"/>
        <v>0</v>
      </c>
      <c r="I56" s="142">
        <f t="shared" si="3"/>
        <v>0</v>
      </c>
      <c r="J56" s="142">
        <f t="shared" si="3"/>
        <v>0</v>
      </c>
      <c r="K56" s="143">
        <f t="shared" si="3"/>
        <v>0</v>
      </c>
      <c r="L56" s="129">
        <f t="shared" si="2"/>
        <v>0</v>
      </c>
      <c r="M56" s="129">
        <f t="shared" si="1"/>
        <v>0</v>
      </c>
    </row>
    <row r="57" spans="1:13" ht="15.75" hidden="1" customHeight="1">
      <c r="A57" s="150" t="s">
        <v>199</v>
      </c>
      <c r="B57" s="151" t="s">
        <v>200</v>
      </c>
      <c r="C57" s="158">
        <v>0</v>
      </c>
      <c r="D57" s="142">
        <v>0</v>
      </c>
      <c r="E57" s="142">
        <v>0</v>
      </c>
      <c r="F57" s="143">
        <v>0</v>
      </c>
      <c r="H57" s="158">
        <f t="shared" si="3"/>
        <v>0</v>
      </c>
      <c r="I57" s="142">
        <f t="shared" si="3"/>
        <v>0</v>
      </c>
      <c r="J57" s="142">
        <f t="shared" si="3"/>
        <v>0</v>
      </c>
      <c r="K57" s="143">
        <f t="shared" si="3"/>
        <v>0</v>
      </c>
      <c r="L57" s="129">
        <f t="shared" si="2"/>
        <v>0</v>
      </c>
      <c r="M57" s="129">
        <f t="shared" si="1"/>
        <v>0</v>
      </c>
    </row>
    <row r="58" spans="1:13" ht="12.75" hidden="1" customHeight="1">
      <c r="A58" s="159" t="s">
        <v>201</v>
      </c>
      <c r="B58" s="160" t="s">
        <v>202</v>
      </c>
      <c r="C58" s="158">
        <v>0</v>
      </c>
      <c r="D58" s="142">
        <v>0</v>
      </c>
      <c r="E58" s="142">
        <v>0</v>
      </c>
      <c r="F58" s="143">
        <v>0</v>
      </c>
      <c r="H58" s="158">
        <f t="shared" si="3"/>
        <v>0</v>
      </c>
      <c r="I58" s="142">
        <f t="shared" si="3"/>
        <v>0</v>
      </c>
      <c r="J58" s="142">
        <f t="shared" si="3"/>
        <v>0</v>
      </c>
      <c r="K58" s="143">
        <f t="shared" si="3"/>
        <v>0</v>
      </c>
      <c r="L58" s="129">
        <f t="shared" si="2"/>
        <v>0</v>
      </c>
      <c r="M58" s="129">
        <f t="shared" si="1"/>
        <v>0</v>
      </c>
    </row>
    <row r="59" spans="1:13" ht="12.75" hidden="1" customHeight="1">
      <c r="A59" s="159" t="s">
        <v>203</v>
      </c>
      <c r="B59" s="160" t="s">
        <v>204</v>
      </c>
      <c r="C59" s="158">
        <v>0</v>
      </c>
      <c r="D59" s="142">
        <v>0</v>
      </c>
      <c r="E59" s="142">
        <v>0</v>
      </c>
      <c r="F59" s="143">
        <v>0</v>
      </c>
      <c r="H59" s="141">
        <f t="shared" si="3"/>
        <v>0</v>
      </c>
      <c r="I59" s="142">
        <f t="shared" si="3"/>
        <v>0</v>
      </c>
      <c r="J59" s="142">
        <f t="shared" si="3"/>
        <v>0</v>
      </c>
      <c r="K59" s="143">
        <f t="shared" si="3"/>
        <v>0</v>
      </c>
      <c r="L59" s="129">
        <f t="shared" si="2"/>
        <v>0</v>
      </c>
      <c r="M59" s="129">
        <f t="shared" si="1"/>
        <v>0</v>
      </c>
    </row>
    <row r="60" spans="1:13" ht="12.75" hidden="1" customHeight="1">
      <c r="A60" s="150" t="s">
        <v>205</v>
      </c>
      <c r="B60" s="151" t="s">
        <v>206</v>
      </c>
      <c r="C60" s="158">
        <v>0</v>
      </c>
      <c r="D60" s="142">
        <v>0</v>
      </c>
      <c r="E60" s="142">
        <v>0</v>
      </c>
      <c r="F60" s="143">
        <v>0</v>
      </c>
      <c r="H60" s="148">
        <f t="shared" si="3"/>
        <v>0</v>
      </c>
      <c r="I60" s="148">
        <f t="shared" si="3"/>
        <v>0</v>
      </c>
      <c r="J60" s="148">
        <f t="shared" si="3"/>
        <v>0</v>
      </c>
      <c r="K60" s="149">
        <f t="shared" si="3"/>
        <v>0</v>
      </c>
      <c r="L60" s="129">
        <f t="shared" si="2"/>
        <v>0</v>
      </c>
      <c r="M60" s="129">
        <f t="shared" si="1"/>
        <v>0</v>
      </c>
    </row>
    <row r="61" spans="1:13" ht="12.75" hidden="1" customHeight="1">
      <c r="A61" s="150"/>
      <c r="B61" s="151"/>
      <c r="C61" s="141"/>
      <c r="D61" s="142"/>
      <c r="E61" s="142"/>
      <c r="F61" s="143"/>
      <c r="H61" s="158">
        <f t="shared" si="3"/>
        <v>0</v>
      </c>
      <c r="I61" s="142">
        <f t="shared" si="3"/>
        <v>0</v>
      </c>
      <c r="J61" s="142">
        <f t="shared" si="3"/>
        <v>0</v>
      </c>
      <c r="K61" s="143">
        <f t="shared" si="3"/>
        <v>0</v>
      </c>
      <c r="L61" s="129">
        <f t="shared" si="2"/>
        <v>0</v>
      </c>
      <c r="M61" s="129">
        <f t="shared" si="1"/>
        <v>0</v>
      </c>
    </row>
    <row r="62" spans="1:13" s="155" customFormat="1">
      <c r="A62" s="153" t="s">
        <v>207</v>
      </c>
      <c r="B62" s="154" t="s">
        <v>208</v>
      </c>
      <c r="C62" s="148">
        <v>130967000</v>
      </c>
      <c r="D62" s="148">
        <v>38165000</v>
      </c>
      <c r="E62" s="148">
        <v>37550000</v>
      </c>
      <c r="F62" s="149">
        <v>55252000</v>
      </c>
      <c r="H62" s="158">
        <f t="shared" si="3"/>
        <v>0</v>
      </c>
      <c r="I62" s="142">
        <f t="shared" si="3"/>
        <v>0</v>
      </c>
      <c r="J62" s="142">
        <f t="shared" si="3"/>
        <v>0</v>
      </c>
      <c r="K62" s="143">
        <f t="shared" si="3"/>
        <v>0</v>
      </c>
      <c r="L62" s="156">
        <f t="shared" si="2"/>
        <v>0</v>
      </c>
      <c r="M62" s="156">
        <f t="shared" si="1"/>
        <v>0</v>
      </c>
    </row>
    <row r="63" spans="1:13" ht="12.75" customHeight="1">
      <c r="A63" s="150" t="s">
        <v>209</v>
      </c>
      <c r="B63" s="151" t="s">
        <v>210</v>
      </c>
      <c r="C63" s="158">
        <v>10170000</v>
      </c>
      <c r="D63" s="142">
        <v>3200000</v>
      </c>
      <c r="E63" s="142">
        <v>3200000</v>
      </c>
      <c r="F63" s="143">
        <v>3770000</v>
      </c>
      <c r="G63" s="132"/>
      <c r="H63" s="158">
        <f t="shared" si="3"/>
        <v>130967</v>
      </c>
      <c r="I63" s="142">
        <f t="shared" si="3"/>
        <v>38165</v>
      </c>
      <c r="J63" s="142">
        <f t="shared" si="3"/>
        <v>37550</v>
      </c>
      <c r="K63" s="143">
        <f t="shared" si="3"/>
        <v>55252</v>
      </c>
      <c r="L63" s="129">
        <f t="shared" si="2"/>
        <v>0</v>
      </c>
      <c r="M63" s="129">
        <f t="shared" si="1"/>
        <v>0</v>
      </c>
    </row>
    <row r="64" spans="1:13" ht="12.75" customHeight="1">
      <c r="A64" s="150" t="s">
        <v>211</v>
      </c>
      <c r="B64" s="151" t="s">
        <v>212</v>
      </c>
      <c r="C64" s="158">
        <v>98310000</v>
      </c>
      <c r="D64" s="142">
        <v>33200000</v>
      </c>
      <c r="E64" s="142">
        <v>33200000</v>
      </c>
      <c r="F64" s="143">
        <v>31910000</v>
      </c>
      <c r="H64" s="158">
        <f t="shared" si="3"/>
        <v>10170</v>
      </c>
      <c r="I64" s="142">
        <f t="shared" si="3"/>
        <v>3200</v>
      </c>
      <c r="J64" s="142">
        <f t="shared" si="3"/>
        <v>3200</v>
      </c>
      <c r="K64" s="143">
        <f t="shared" si="3"/>
        <v>3770</v>
      </c>
      <c r="L64" s="129">
        <f t="shared" si="2"/>
        <v>0</v>
      </c>
      <c r="M64" s="129">
        <f t="shared" si="1"/>
        <v>0</v>
      </c>
    </row>
    <row r="65" spans="1:13">
      <c r="A65" s="150" t="s">
        <v>213</v>
      </c>
      <c r="B65" s="151" t="s">
        <v>214</v>
      </c>
      <c r="C65" s="158">
        <v>1243000</v>
      </c>
      <c r="D65" s="142">
        <v>565000</v>
      </c>
      <c r="E65" s="142">
        <v>0</v>
      </c>
      <c r="F65" s="143">
        <v>678000</v>
      </c>
      <c r="H65" s="158">
        <f t="shared" si="3"/>
        <v>98310</v>
      </c>
      <c r="I65" s="142">
        <f t="shared" si="3"/>
        <v>33200</v>
      </c>
      <c r="J65" s="142">
        <f t="shared" si="3"/>
        <v>33200</v>
      </c>
      <c r="K65" s="143">
        <f t="shared" si="3"/>
        <v>31910</v>
      </c>
      <c r="L65" s="129">
        <f t="shared" si="2"/>
        <v>0</v>
      </c>
      <c r="M65" s="129">
        <f t="shared" si="1"/>
        <v>0</v>
      </c>
    </row>
    <row r="66" spans="1:13">
      <c r="A66" s="150" t="s">
        <v>215</v>
      </c>
      <c r="B66" s="151" t="s">
        <v>216</v>
      </c>
      <c r="C66" s="158">
        <v>19605500</v>
      </c>
      <c r="D66" s="142">
        <v>600000</v>
      </c>
      <c r="E66" s="142">
        <v>600000</v>
      </c>
      <c r="F66" s="143">
        <v>18405500</v>
      </c>
      <c r="H66" s="141">
        <f t="shared" si="3"/>
        <v>1243</v>
      </c>
      <c r="I66" s="142">
        <f t="shared" si="3"/>
        <v>565</v>
      </c>
      <c r="J66" s="142">
        <f t="shared" si="3"/>
        <v>0</v>
      </c>
      <c r="K66" s="143">
        <f t="shared" si="3"/>
        <v>678</v>
      </c>
      <c r="L66" s="129">
        <f t="shared" si="2"/>
        <v>0</v>
      </c>
      <c r="M66" s="129">
        <f t="shared" si="1"/>
        <v>0</v>
      </c>
    </row>
    <row r="67" spans="1:13">
      <c r="A67" s="150" t="s">
        <v>217</v>
      </c>
      <c r="B67" s="151" t="s">
        <v>218</v>
      </c>
      <c r="C67" s="158">
        <v>1638500</v>
      </c>
      <c r="D67" s="142">
        <v>600000</v>
      </c>
      <c r="E67" s="142">
        <v>550000</v>
      </c>
      <c r="F67" s="143">
        <v>488500</v>
      </c>
      <c r="H67" s="148">
        <f t="shared" si="3"/>
        <v>19605.5</v>
      </c>
      <c r="I67" s="148">
        <f t="shared" si="3"/>
        <v>600</v>
      </c>
      <c r="J67" s="148">
        <f t="shared" si="3"/>
        <v>600</v>
      </c>
      <c r="K67" s="149">
        <f t="shared" si="3"/>
        <v>18405.5</v>
      </c>
      <c r="L67" s="129">
        <f t="shared" si="2"/>
        <v>0</v>
      </c>
      <c r="M67" s="129">
        <f t="shared" si="1"/>
        <v>0</v>
      </c>
    </row>
    <row r="68" spans="1:13">
      <c r="A68" s="150"/>
      <c r="B68" s="151"/>
      <c r="C68" s="141"/>
      <c r="D68" s="142"/>
      <c r="E68" s="142"/>
      <c r="F68" s="143"/>
      <c r="H68" s="158">
        <f t="shared" si="3"/>
        <v>1638.5</v>
      </c>
      <c r="I68" s="142">
        <f t="shared" si="3"/>
        <v>600</v>
      </c>
      <c r="J68" s="142">
        <f t="shared" si="3"/>
        <v>550</v>
      </c>
      <c r="K68" s="143">
        <f t="shared" si="3"/>
        <v>488.5</v>
      </c>
      <c r="L68" s="129">
        <f t="shared" si="2"/>
        <v>0</v>
      </c>
      <c r="M68" s="129">
        <f t="shared" si="1"/>
        <v>0</v>
      </c>
    </row>
    <row r="69" spans="1:13" s="155" customFormat="1">
      <c r="A69" s="153" t="s">
        <v>219</v>
      </c>
      <c r="B69" s="154" t="s">
        <v>220</v>
      </c>
      <c r="C69" s="148">
        <v>403631428.67000002</v>
      </c>
      <c r="D69" s="148">
        <v>338091428.67000002</v>
      </c>
      <c r="E69" s="148">
        <v>36580000</v>
      </c>
      <c r="F69" s="149">
        <v>28960000</v>
      </c>
      <c r="H69" s="158">
        <f t="shared" si="3"/>
        <v>0</v>
      </c>
      <c r="I69" s="142">
        <f t="shared" si="3"/>
        <v>0</v>
      </c>
      <c r="J69" s="142">
        <f t="shared" si="3"/>
        <v>0</v>
      </c>
      <c r="K69" s="143">
        <f t="shared" si="3"/>
        <v>0</v>
      </c>
      <c r="L69" s="156">
        <f t="shared" si="2"/>
        <v>0</v>
      </c>
      <c r="M69" s="156">
        <f t="shared" si="1"/>
        <v>0</v>
      </c>
    </row>
    <row r="70" spans="1:13">
      <c r="A70" s="150" t="s">
        <v>221</v>
      </c>
      <c r="B70" s="151" t="s">
        <v>222</v>
      </c>
      <c r="C70" s="158">
        <v>3180000</v>
      </c>
      <c r="D70" s="142">
        <v>0</v>
      </c>
      <c r="E70" s="142">
        <v>3000000</v>
      </c>
      <c r="F70" s="143">
        <v>180000</v>
      </c>
      <c r="G70" s="132"/>
      <c r="H70" s="158">
        <f t="shared" si="3"/>
        <v>403631.42866999999</v>
      </c>
      <c r="I70" s="142">
        <f t="shared" si="3"/>
        <v>338091.42866999999</v>
      </c>
      <c r="J70" s="142">
        <f t="shared" si="3"/>
        <v>36580</v>
      </c>
      <c r="K70" s="143">
        <f t="shared" si="3"/>
        <v>28960</v>
      </c>
      <c r="L70" s="129">
        <f t="shared" si="2"/>
        <v>0</v>
      </c>
      <c r="M70" s="129">
        <f t="shared" si="1"/>
        <v>0</v>
      </c>
    </row>
    <row r="71" spans="1:13" ht="12.75" customHeight="1">
      <c r="A71" s="150" t="s">
        <v>223</v>
      </c>
      <c r="B71" s="151" t="s">
        <v>224</v>
      </c>
      <c r="C71" s="158">
        <v>2250000</v>
      </c>
      <c r="D71" s="142">
        <v>2250000</v>
      </c>
      <c r="E71" s="142">
        <v>0</v>
      </c>
      <c r="F71" s="143">
        <v>0</v>
      </c>
      <c r="H71" s="158">
        <f t="shared" si="3"/>
        <v>3180</v>
      </c>
      <c r="I71" s="142">
        <f t="shared" si="3"/>
        <v>0</v>
      </c>
      <c r="J71" s="142">
        <f t="shared" si="3"/>
        <v>3000</v>
      </c>
      <c r="K71" s="143">
        <f t="shared" si="3"/>
        <v>180</v>
      </c>
      <c r="L71" s="129">
        <f t="shared" si="2"/>
        <v>0</v>
      </c>
      <c r="M71" s="129">
        <f t="shared" si="1"/>
        <v>0</v>
      </c>
    </row>
    <row r="72" spans="1:13">
      <c r="A72" s="150" t="s">
        <v>225</v>
      </c>
      <c r="B72" s="151" t="s">
        <v>226</v>
      </c>
      <c r="C72" s="158">
        <v>4845000</v>
      </c>
      <c r="D72" s="142">
        <v>1725000</v>
      </c>
      <c r="E72" s="142">
        <v>3000000</v>
      </c>
      <c r="F72" s="143">
        <v>120000</v>
      </c>
      <c r="H72" s="158">
        <f t="shared" si="3"/>
        <v>2250</v>
      </c>
      <c r="I72" s="142">
        <f t="shared" si="3"/>
        <v>2250</v>
      </c>
      <c r="J72" s="142">
        <f t="shared" si="3"/>
        <v>0</v>
      </c>
      <c r="K72" s="143">
        <f t="shared" si="3"/>
        <v>0</v>
      </c>
      <c r="L72" s="129">
        <f t="shared" si="2"/>
        <v>0</v>
      </c>
      <c r="M72" s="129">
        <f t="shared" si="1"/>
        <v>0</v>
      </c>
    </row>
    <row r="73" spans="1:13" ht="12.75" hidden="1" customHeight="1">
      <c r="A73" s="159" t="s">
        <v>227</v>
      </c>
      <c r="B73" s="160" t="s">
        <v>228</v>
      </c>
      <c r="C73" s="158">
        <v>0</v>
      </c>
      <c r="D73" s="142">
        <v>0</v>
      </c>
      <c r="E73" s="142">
        <v>0</v>
      </c>
      <c r="F73" s="143">
        <v>0</v>
      </c>
      <c r="H73" s="158">
        <f t="shared" si="3"/>
        <v>4845</v>
      </c>
      <c r="I73" s="142">
        <f t="shared" si="3"/>
        <v>1725</v>
      </c>
      <c r="J73" s="142">
        <f t="shared" si="3"/>
        <v>3000</v>
      </c>
      <c r="K73" s="143">
        <f t="shared" si="3"/>
        <v>120</v>
      </c>
      <c r="L73" s="129">
        <f t="shared" si="2"/>
        <v>0</v>
      </c>
      <c r="M73" s="129">
        <f t="shared" si="1"/>
        <v>0</v>
      </c>
    </row>
    <row r="74" spans="1:13" ht="12.75" hidden="1" customHeight="1">
      <c r="A74" s="150" t="s">
        <v>229</v>
      </c>
      <c r="B74" s="151" t="s">
        <v>230</v>
      </c>
      <c r="C74" s="158">
        <v>0</v>
      </c>
      <c r="D74" s="142">
        <v>0</v>
      </c>
      <c r="E74" s="142">
        <v>0</v>
      </c>
      <c r="F74" s="143">
        <v>0</v>
      </c>
      <c r="H74" s="158">
        <f t="shared" si="3"/>
        <v>0</v>
      </c>
      <c r="I74" s="142">
        <f t="shared" si="3"/>
        <v>0</v>
      </c>
      <c r="J74" s="142">
        <f t="shared" si="3"/>
        <v>0</v>
      </c>
      <c r="K74" s="143">
        <f t="shared" si="3"/>
        <v>0</v>
      </c>
      <c r="L74" s="129">
        <f t="shared" si="2"/>
        <v>0</v>
      </c>
      <c r="M74" s="129">
        <f t="shared" si="1"/>
        <v>0</v>
      </c>
    </row>
    <row r="75" spans="1:13" ht="12.75" customHeight="1">
      <c r="A75" s="159" t="s">
        <v>231</v>
      </c>
      <c r="B75" s="160" t="s">
        <v>232</v>
      </c>
      <c r="C75" s="158">
        <v>11500000</v>
      </c>
      <c r="D75" s="142">
        <v>0</v>
      </c>
      <c r="E75" s="142">
        <v>0</v>
      </c>
      <c r="F75" s="143">
        <v>11500000</v>
      </c>
      <c r="H75" s="141">
        <f t="shared" si="3"/>
        <v>0</v>
      </c>
      <c r="I75" s="142">
        <f t="shared" si="3"/>
        <v>0</v>
      </c>
      <c r="J75" s="142">
        <f t="shared" si="3"/>
        <v>0</v>
      </c>
      <c r="K75" s="143">
        <f t="shared" si="3"/>
        <v>0</v>
      </c>
      <c r="L75" s="129">
        <f t="shared" si="2"/>
        <v>0</v>
      </c>
      <c r="M75" s="129">
        <f t="shared" ref="M75:M138" si="4">+H76-C75/1000</f>
        <v>0</v>
      </c>
    </row>
    <row r="76" spans="1:13" ht="12.75" customHeight="1">
      <c r="A76" s="159" t="s">
        <v>233</v>
      </c>
      <c r="B76" s="160" t="s">
        <v>234</v>
      </c>
      <c r="C76" s="158">
        <v>381856428.67000002</v>
      </c>
      <c r="D76" s="142">
        <v>334116428.67000002</v>
      </c>
      <c r="E76" s="142">
        <v>30580000</v>
      </c>
      <c r="F76" s="143">
        <v>17160000</v>
      </c>
      <c r="H76" s="148">
        <f t="shared" si="3"/>
        <v>11500</v>
      </c>
      <c r="I76" s="148">
        <f t="shared" si="3"/>
        <v>0</v>
      </c>
      <c r="J76" s="148">
        <f t="shared" si="3"/>
        <v>0</v>
      </c>
      <c r="K76" s="149">
        <f t="shared" si="3"/>
        <v>11500</v>
      </c>
      <c r="L76" s="129">
        <f t="shared" ref="L76:L139" si="5">SUM(I77:K77)-H77</f>
        <v>0</v>
      </c>
      <c r="M76" s="129">
        <f t="shared" si="4"/>
        <v>0</v>
      </c>
    </row>
    <row r="77" spans="1:13">
      <c r="A77" s="150"/>
      <c r="B77" s="151"/>
      <c r="C77" s="141"/>
      <c r="D77" s="142"/>
      <c r="E77" s="142"/>
      <c r="F77" s="143"/>
      <c r="H77" s="158">
        <f t="shared" si="3"/>
        <v>381856.42866999999</v>
      </c>
      <c r="I77" s="142">
        <f t="shared" si="3"/>
        <v>334116.42866999999</v>
      </c>
      <c r="J77" s="142">
        <f t="shared" si="3"/>
        <v>30580</v>
      </c>
      <c r="K77" s="143">
        <f t="shared" si="3"/>
        <v>17160</v>
      </c>
      <c r="L77" s="129">
        <f t="shared" si="5"/>
        <v>0</v>
      </c>
      <c r="M77" s="129">
        <f t="shared" si="4"/>
        <v>0</v>
      </c>
    </row>
    <row r="78" spans="1:13" s="155" customFormat="1">
      <c r="A78" s="153" t="s">
        <v>235</v>
      </c>
      <c r="B78" s="154" t="s">
        <v>236</v>
      </c>
      <c r="C78" s="148">
        <v>227805824.20999998</v>
      </c>
      <c r="D78" s="148">
        <v>71950000</v>
      </c>
      <c r="E78" s="148">
        <v>81089731.479999989</v>
      </c>
      <c r="F78" s="149">
        <v>74766092.730000004</v>
      </c>
      <c r="H78" s="158">
        <f t="shared" si="3"/>
        <v>0</v>
      </c>
      <c r="I78" s="142">
        <f t="shared" si="3"/>
        <v>0</v>
      </c>
      <c r="J78" s="142">
        <f t="shared" si="3"/>
        <v>0</v>
      </c>
      <c r="K78" s="143">
        <f t="shared" si="3"/>
        <v>0</v>
      </c>
      <c r="L78" s="156">
        <f t="shared" si="5"/>
        <v>0</v>
      </c>
      <c r="M78" s="156">
        <f t="shared" si="4"/>
        <v>0</v>
      </c>
    </row>
    <row r="79" spans="1:13" ht="12.75" hidden="1" customHeight="1">
      <c r="A79" s="159" t="s">
        <v>237</v>
      </c>
      <c r="B79" s="160" t="s">
        <v>238</v>
      </c>
      <c r="C79" s="158">
        <v>0</v>
      </c>
      <c r="D79" s="142">
        <v>0</v>
      </c>
      <c r="E79" s="142">
        <v>0</v>
      </c>
      <c r="F79" s="143">
        <v>0</v>
      </c>
      <c r="H79" s="158">
        <f t="shared" si="3"/>
        <v>227805.82420999999</v>
      </c>
      <c r="I79" s="142">
        <f t="shared" si="3"/>
        <v>71950</v>
      </c>
      <c r="J79" s="142">
        <f t="shared" si="3"/>
        <v>81089.731479999988</v>
      </c>
      <c r="K79" s="143">
        <f t="shared" si="3"/>
        <v>74766.092730000004</v>
      </c>
      <c r="L79" s="129">
        <f t="shared" si="5"/>
        <v>0</v>
      </c>
      <c r="M79" s="129">
        <f t="shared" si="4"/>
        <v>0</v>
      </c>
    </row>
    <row r="80" spans="1:13" ht="12.75" customHeight="1">
      <c r="A80" s="150" t="s">
        <v>239</v>
      </c>
      <c r="B80" s="151" t="s">
        <v>240</v>
      </c>
      <c r="C80" s="158">
        <v>1000000</v>
      </c>
      <c r="D80" s="142">
        <v>0</v>
      </c>
      <c r="E80" s="142">
        <v>0</v>
      </c>
      <c r="F80" s="143">
        <v>1000000</v>
      </c>
      <c r="H80" s="158">
        <f t="shared" si="3"/>
        <v>0</v>
      </c>
      <c r="I80" s="142">
        <f t="shared" si="3"/>
        <v>0</v>
      </c>
      <c r="J80" s="142">
        <f t="shared" si="3"/>
        <v>0</v>
      </c>
      <c r="K80" s="143">
        <f t="shared" si="3"/>
        <v>0</v>
      </c>
      <c r="L80" s="129">
        <f t="shared" si="5"/>
        <v>0</v>
      </c>
      <c r="M80" s="129">
        <f t="shared" si="4"/>
        <v>0</v>
      </c>
    </row>
    <row r="81" spans="1:13" ht="12.75" hidden="1" customHeight="1">
      <c r="A81" s="150" t="s">
        <v>241</v>
      </c>
      <c r="B81" s="151" t="s">
        <v>242</v>
      </c>
      <c r="C81" s="158">
        <v>0</v>
      </c>
      <c r="D81" s="142">
        <v>0</v>
      </c>
      <c r="E81" s="142">
        <v>0</v>
      </c>
      <c r="F81" s="143">
        <v>0</v>
      </c>
      <c r="H81" s="158">
        <f t="shared" si="3"/>
        <v>1000</v>
      </c>
      <c r="I81" s="142">
        <f t="shared" si="3"/>
        <v>0</v>
      </c>
      <c r="J81" s="142">
        <f t="shared" si="3"/>
        <v>0</v>
      </c>
      <c r="K81" s="143">
        <f t="shared" si="3"/>
        <v>1000</v>
      </c>
      <c r="L81" s="129">
        <f t="shared" si="5"/>
        <v>0</v>
      </c>
      <c r="M81" s="129">
        <f t="shared" si="4"/>
        <v>0</v>
      </c>
    </row>
    <row r="82" spans="1:13" ht="12.75" customHeight="1">
      <c r="A82" s="159" t="s">
        <v>243</v>
      </c>
      <c r="B82" s="160" t="s">
        <v>244</v>
      </c>
      <c r="C82" s="158">
        <v>7500000</v>
      </c>
      <c r="D82" s="142">
        <v>0</v>
      </c>
      <c r="E82" s="142">
        <v>0</v>
      </c>
      <c r="F82" s="143">
        <v>7500000</v>
      </c>
      <c r="H82" s="158">
        <f t="shared" si="3"/>
        <v>0</v>
      </c>
      <c r="I82" s="142">
        <f t="shared" si="3"/>
        <v>0</v>
      </c>
      <c r="J82" s="142">
        <f t="shared" si="3"/>
        <v>0</v>
      </c>
      <c r="K82" s="143">
        <f t="shared" si="3"/>
        <v>0</v>
      </c>
      <c r="L82" s="129">
        <f t="shared" si="5"/>
        <v>0</v>
      </c>
      <c r="M82" s="129">
        <f t="shared" si="4"/>
        <v>0</v>
      </c>
    </row>
    <row r="83" spans="1:13" ht="12.75" hidden="1" customHeight="1">
      <c r="A83" s="150" t="s">
        <v>245</v>
      </c>
      <c r="B83" s="151" t="s">
        <v>246</v>
      </c>
      <c r="C83" s="158">
        <v>0</v>
      </c>
      <c r="D83" s="142">
        <v>0</v>
      </c>
      <c r="E83" s="142">
        <v>0</v>
      </c>
      <c r="F83" s="143">
        <v>0</v>
      </c>
      <c r="H83" s="158">
        <f t="shared" si="3"/>
        <v>7500</v>
      </c>
      <c r="I83" s="142">
        <f t="shared" si="3"/>
        <v>0</v>
      </c>
      <c r="J83" s="142">
        <f t="shared" si="3"/>
        <v>0</v>
      </c>
      <c r="K83" s="143">
        <f t="shared" si="3"/>
        <v>7500</v>
      </c>
      <c r="L83" s="129">
        <f t="shared" si="5"/>
        <v>0</v>
      </c>
      <c r="M83" s="129">
        <f t="shared" si="4"/>
        <v>0</v>
      </c>
    </row>
    <row r="84" spans="1:13">
      <c r="A84" s="150" t="s">
        <v>247</v>
      </c>
      <c r="B84" s="151" t="s">
        <v>248</v>
      </c>
      <c r="C84" s="158">
        <v>203355824.20999998</v>
      </c>
      <c r="D84" s="142">
        <v>69650000</v>
      </c>
      <c r="E84" s="142">
        <v>73089731.479999989</v>
      </c>
      <c r="F84" s="143">
        <v>60616092.730000004</v>
      </c>
      <c r="H84" s="141">
        <f t="shared" si="3"/>
        <v>0</v>
      </c>
      <c r="I84" s="142">
        <f t="shared" si="3"/>
        <v>0</v>
      </c>
      <c r="J84" s="142">
        <f t="shared" si="3"/>
        <v>0</v>
      </c>
      <c r="K84" s="143">
        <f t="shared" si="3"/>
        <v>0</v>
      </c>
      <c r="L84" s="129">
        <f t="shared" si="5"/>
        <v>0</v>
      </c>
      <c r="M84" s="129">
        <f t="shared" si="4"/>
        <v>0</v>
      </c>
    </row>
    <row r="85" spans="1:13">
      <c r="A85" s="150" t="s">
        <v>249</v>
      </c>
      <c r="B85" s="151" t="s">
        <v>250</v>
      </c>
      <c r="C85" s="158">
        <v>15950000</v>
      </c>
      <c r="D85" s="142">
        <v>2300000</v>
      </c>
      <c r="E85" s="142">
        <v>8000000</v>
      </c>
      <c r="F85" s="143">
        <v>5650000</v>
      </c>
      <c r="H85" s="148">
        <f t="shared" si="3"/>
        <v>203355.82420999999</v>
      </c>
      <c r="I85" s="148">
        <f t="shared" si="3"/>
        <v>69650</v>
      </c>
      <c r="J85" s="148">
        <f t="shared" si="3"/>
        <v>73089.731479999988</v>
      </c>
      <c r="K85" s="149">
        <f t="shared" si="3"/>
        <v>60616.092730000004</v>
      </c>
      <c r="L85" s="129">
        <f t="shared" si="5"/>
        <v>0</v>
      </c>
      <c r="M85" s="129">
        <f t="shared" si="4"/>
        <v>0</v>
      </c>
    </row>
    <row r="86" spans="1:13">
      <c r="A86" s="150"/>
      <c r="B86" s="151"/>
      <c r="C86" s="141"/>
      <c r="D86" s="142"/>
      <c r="E86" s="142"/>
      <c r="F86" s="143"/>
      <c r="H86" s="158">
        <f t="shared" si="3"/>
        <v>15950</v>
      </c>
      <c r="I86" s="142">
        <f t="shared" si="3"/>
        <v>2300</v>
      </c>
      <c r="J86" s="142">
        <f t="shared" si="3"/>
        <v>8000</v>
      </c>
      <c r="K86" s="143">
        <f t="shared" si="3"/>
        <v>5650</v>
      </c>
      <c r="L86" s="129">
        <f t="shared" si="5"/>
        <v>0</v>
      </c>
      <c r="M86" s="129">
        <f t="shared" si="4"/>
        <v>0</v>
      </c>
    </row>
    <row r="87" spans="1:13" s="155" customFormat="1">
      <c r="A87" s="153" t="s">
        <v>251</v>
      </c>
      <c r="B87" s="154" t="s">
        <v>252</v>
      </c>
      <c r="C87" s="148">
        <v>4885000</v>
      </c>
      <c r="D87" s="148">
        <v>1175000</v>
      </c>
      <c r="E87" s="148">
        <v>3565000</v>
      </c>
      <c r="F87" s="149">
        <v>145000</v>
      </c>
      <c r="H87" s="158">
        <f t="shared" si="3"/>
        <v>0</v>
      </c>
      <c r="I87" s="142">
        <f t="shared" si="3"/>
        <v>0</v>
      </c>
      <c r="J87" s="142">
        <f t="shared" si="3"/>
        <v>0</v>
      </c>
      <c r="K87" s="143">
        <f t="shared" si="3"/>
        <v>0</v>
      </c>
      <c r="L87" s="156">
        <f t="shared" si="5"/>
        <v>0</v>
      </c>
      <c r="M87" s="156">
        <f t="shared" si="4"/>
        <v>0</v>
      </c>
    </row>
    <row r="88" spans="1:13">
      <c r="A88" s="150" t="s">
        <v>253</v>
      </c>
      <c r="B88" s="151" t="s">
        <v>254</v>
      </c>
      <c r="C88" s="158">
        <v>235000</v>
      </c>
      <c r="D88" s="142">
        <v>0</v>
      </c>
      <c r="E88" s="142">
        <v>90000</v>
      </c>
      <c r="F88" s="143">
        <v>145000</v>
      </c>
      <c r="H88" s="158">
        <f t="shared" si="3"/>
        <v>4885</v>
      </c>
      <c r="I88" s="142">
        <f t="shared" si="3"/>
        <v>1175</v>
      </c>
      <c r="J88" s="142">
        <f t="shared" si="3"/>
        <v>3565</v>
      </c>
      <c r="K88" s="143">
        <f t="shared" si="3"/>
        <v>145</v>
      </c>
      <c r="L88" s="129">
        <f t="shared" si="5"/>
        <v>0</v>
      </c>
      <c r="M88" s="129">
        <f t="shared" si="4"/>
        <v>0</v>
      </c>
    </row>
    <row r="89" spans="1:13">
      <c r="A89" s="150" t="s">
        <v>255</v>
      </c>
      <c r="B89" s="151" t="s">
        <v>256</v>
      </c>
      <c r="C89" s="158">
        <v>650000</v>
      </c>
      <c r="D89" s="142">
        <v>0</v>
      </c>
      <c r="E89" s="142">
        <v>650000</v>
      </c>
      <c r="F89" s="143">
        <v>0</v>
      </c>
      <c r="H89" s="158">
        <f t="shared" si="3"/>
        <v>235</v>
      </c>
      <c r="I89" s="142">
        <f t="shared" si="3"/>
        <v>0</v>
      </c>
      <c r="J89" s="142">
        <f t="shared" si="3"/>
        <v>90</v>
      </c>
      <c r="K89" s="143">
        <f t="shared" si="3"/>
        <v>145</v>
      </c>
      <c r="L89" s="129">
        <f t="shared" si="5"/>
        <v>0</v>
      </c>
      <c r="M89" s="129">
        <f t="shared" si="4"/>
        <v>0</v>
      </c>
    </row>
    <row r="90" spans="1:13">
      <c r="A90" s="150" t="s">
        <v>257</v>
      </c>
      <c r="B90" s="151" t="s">
        <v>258</v>
      </c>
      <c r="C90" s="158">
        <v>2000000</v>
      </c>
      <c r="D90" s="142">
        <v>750000</v>
      </c>
      <c r="E90" s="142">
        <v>1250000</v>
      </c>
      <c r="F90" s="143">
        <v>0</v>
      </c>
      <c r="H90" s="141">
        <f t="shared" si="3"/>
        <v>650</v>
      </c>
      <c r="I90" s="142">
        <f t="shared" si="3"/>
        <v>0</v>
      </c>
      <c r="J90" s="142">
        <f t="shared" si="3"/>
        <v>650</v>
      </c>
      <c r="K90" s="143">
        <f t="shared" ref="K90:K153" si="6">+F89/1000</f>
        <v>0</v>
      </c>
      <c r="L90" s="129">
        <f t="shared" si="5"/>
        <v>0</v>
      </c>
      <c r="M90" s="129">
        <f t="shared" si="4"/>
        <v>0</v>
      </c>
    </row>
    <row r="91" spans="1:13">
      <c r="A91" s="150" t="s">
        <v>259</v>
      </c>
      <c r="B91" s="151" t="s">
        <v>260</v>
      </c>
      <c r="C91" s="158">
        <v>2000000</v>
      </c>
      <c r="D91" s="142">
        <v>425000</v>
      </c>
      <c r="E91" s="142">
        <v>1575000</v>
      </c>
      <c r="F91" s="143">
        <v>0</v>
      </c>
      <c r="H91" s="148">
        <f t="shared" ref="H91:K154" si="7">+C90/1000</f>
        <v>2000</v>
      </c>
      <c r="I91" s="148">
        <f t="shared" si="7"/>
        <v>750</v>
      </c>
      <c r="J91" s="148">
        <f t="shared" si="7"/>
        <v>1250</v>
      </c>
      <c r="K91" s="149">
        <f t="shared" si="6"/>
        <v>0</v>
      </c>
      <c r="L91" s="129">
        <f t="shared" si="5"/>
        <v>0</v>
      </c>
      <c r="M91" s="129">
        <f t="shared" si="4"/>
        <v>0</v>
      </c>
    </row>
    <row r="92" spans="1:13">
      <c r="A92" s="150"/>
      <c r="B92" s="151"/>
      <c r="C92" s="141"/>
      <c r="D92" s="142"/>
      <c r="E92" s="142"/>
      <c r="F92" s="143"/>
      <c r="H92" s="158">
        <f t="shared" si="7"/>
        <v>2000</v>
      </c>
      <c r="I92" s="142">
        <f t="shared" si="7"/>
        <v>425</v>
      </c>
      <c r="J92" s="142">
        <f t="shared" si="7"/>
        <v>1575</v>
      </c>
      <c r="K92" s="143">
        <f t="shared" si="6"/>
        <v>0</v>
      </c>
      <c r="L92" s="129">
        <f t="shared" si="5"/>
        <v>0</v>
      </c>
      <c r="M92" s="129">
        <f t="shared" si="4"/>
        <v>0</v>
      </c>
    </row>
    <row r="93" spans="1:13" s="155" customFormat="1" ht="25.5">
      <c r="A93" s="153" t="s">
        <v>261</v>
      </c>
      <c r="B93" s="154" t="s">
        <v>262</v>
      </c>
      <c r="C93" s="148">
        <v>32120000</v>
      </c>
      <c r="D93" s="148">
        <v>9600000</v>
      </c>
      <c r="E93" s="148">
        <v>9600000</v>
      </c>
      <c r="F93" s="149">
        <v>12920000</v>
      </c>
      <c r="H93" s="158">
        <f t="shared" si="7"/>
        <v>0</v>
      </c>
      <c r="I93" s="142">
        <f t="shared" si="7"/>
        <v>0</v>
      </c>
      <c r="J93" s="142">
        <f t="shared" si="7"/>
        <v>0</v>
      </c>
      <c r="K93" s="143">
        <f t="shared" si="6"/>
        <v>0</v>
      </c>
      <c r="L93" s="156">
        <f t="shared" si="5"/>
        <v>0</v>
      </c>
      <c r="M93" s="156">
        <f t="shared" si="4"/>
        <v>0</v>
      </c>
    </row>
    <row r="94" spans="1:13">
      <c r="A94" s="150" t="s">
        <v>263</v>
      </c>
      <c r="B94" s="151" t="s">
        <v>264</v>
      </c>
      <c r="C94" s="158">
        <v>32120000</v>
      </c>
      <c r="D94" s="142">
        <v>9600000</v>
      </c>
      <c r="E94" s="142">
        <v>9600000</v>
      </c>
      <c r="F94" s="143">
        <v>12920000</v>
      </c>
      <c r="H94" s="158">
        <f t="shared" si="7"/>
        <v>32120</v>
      </c>
      <c r="I94" s="142">
        <f t="shared" si="7"/>
        <v>9600</v>
      </c>
      <c r="J94" s="142">
        <f t="shared" si="7"/>
        <v>9600</v>
      </c>
      <c r="K94" s="143">
        <f t="shared" si="6"/>
        <v>12920</v>
      </c>
      <c r="L94" s="129">
        <f t="shared" si="5"/>
        <v>0</v>
      </c>
      <c r="M94" s="129">
        <f t="shared" si="4"/>
        <v>0</v>
      </c>
    </row>
    <row r="95" spans="1:13" ht="12.75" hidden="1" customHeight="1">
      <c r="A95" s="159" t="s">
        <v>265</v>
      </c>
      <c r="B95" s="160" t="s">
        <v>266</v>
      </c>
      <c r="C95" s="158">
        <v>0</v>
      </c>
      <c r="D95" s="142">
        <v>0</v>
      </c>
      <c r="E95" s="142">
        <v>0</v>
      </c>
      <c r="F95" s="143">
        <v>0</v>
      </c>
      <c r="H95" s="141">
        <f t="shared" si="7"/>
        <v>32120</v>
      </c>
      <c r="I95" s="142">
        <f t="shared" si="7"/>
        <v>9600</v>
      </c>
      <c r="J95" s="142">
        <f t="shared" si="7"/>
        <v>9600</v>
      </c>
      <c r="K95" s="143">
        <f t="shared" si="6"/>
        <v>12920</v>
      </c>
      <c r="L95" s="129">
        <f t="shared" si="5"/>
        <v>0</v>
      </c>
      <c r="M95" s="129">
        <f t="shared" si="4"/>
        <v>0</v>
      </c>
    </row>
    <row r="96" spans="1:13" ht="12.75" hidden="1" customHeight="1">
      <c r="A96" s="159" t="s">
        <v>267</v>
      </c>
      <c r="B96" s="160" t="s">
        <v>268</v>
      </c>
      <c r="C96" s="158">
        <v>0</v>
      </c>
      <c r="D96" s="142">
        <v>0</v>
      </c>
      <c r="E96" s="142">
        <v>0</v>
      </c>
      <c r="F96" s="143">
        <v>0</v>
      </c>
      <c r="H96" s="148">
        <f t="shared" si="7"/>
        <v>0</v>
      </c>
      <c r="I96" s="148">
        <f t="shared" si="7"/>
        <v>0</v>
      </c>
      <c r="J96" s="148">
        <f t="shared" si="7"/>
        <v>0</v>
      </c>
      <c r="K96" s="149">
        <f t="shared" si="6"/>
        <v>0</v>
      </c>
      <c r="L96" s="129">
        <f t="shared" si="5"/>
        <v>0</v>
      </c>
      <c r="M96" s="129">
        <f t="shared" si="4"/>
        <v>0</v>
      </c>
    </row>
    <row r="97" spans="1:13">
      <c r="A97" s="150"/>
      <c r="B97" s="151"/>
      <c r="C97" s="141"/>
      <c r="D97" s="142"/>
      <c r="E97" s="142"/>
      <c r="F97" s="143"/>
      <c r="H97" s="158">
        <f t="shared" si="7"/>
        <v>0</v>
      </c>
      <c r="I97" s="142">
        <f t="shared" si="7"/>
        <v>0</v>
      </c>
      <c r="J97" s="142">
        <f t="shared" si="7"/>
        <v>0</v>
      </c>
      <c r="K97" s="143">
        <f t="shared" si="6"/>
        <v>0</v>
      </c>
      <c r="L97" s="129">
        <f t="shared" si="5"/>
        <v>0</v>
      </c>
      <c r="M97" s="129">
        <f t="shared" si="4"/>
        <v>0</v>
      </c>
    </row>
    <row r="98" spans="1:13" s="155" customFormat="1">
      <c r="A98" s="153" t="s">
        <v>269</v>
      </c>
      <c r="B98" s="154" t="s">
        <v>270</v>
      </c>
      <c r="C98" s="148">
        <v>19085000</v>
      </c>
      <c r="D98" s="148">
        <v>2250000</v>
      </c>
      <c r="E98" s="148">
        <v>15200000</v>
      </c>
      <c r="F98" s="149">
        <v>1635000</v>
      </c>
      <c r="H98" s="158">
        <f t="shared" si="7"/>
        <v>0</v>
      </c>
      <c r="I98" s="142">
        <f t="shared" si="7"/>
        <v>0</v>
      </c>
      <c r="J98" s="142">
        <f t="shared" si="7"/>
        <v>0</v>
      </c>
      <c r="K98" s="143">
        <f t="shared" si="6"/>
        <v>0</v>
      </c>
      <c r="L98" s="156">
        <f t="shared" si="5"/>
        <v>0</v>
      </c>
      <c r="M98" s="156">
        <f t="shared" si="4"/>
        <v>0</v>
      </c>
    </row>
    <row r="99" spans="1:13">
      <c r="A99" s="150" t="s">
        <v>271</v>
      </c>
      <c r="B99" s="151" t="s">
        <v>272</v>
      </c>
      <c r="C99" s="158">
        <v>17085000</v>
      </c>
      <c r="D99" s="142">
        <v>250000</v>
      </c>
      <c r="E99" s="142">
        <v>15200000</v>
      </c>
      <c r="F99" s="143">
        <v>1635000</v>
      </c>
      <c r="H99" s="158">
        <f t="shared" si="7"/>
        <v>19085</v>
      </c>
      <c r="I99" s="142">
        <f t="shared" si="7"/>
        <v>2250</v>
      </c>
      <c r="J99" s="142">
        <f t="shared" si="7"/>
        <v>15200</v>
      </c>
      <c r="K99" s="143">
        <f t="shared" si="6"/>
        <v>1635</v>
      </c>
      <c r="L99" s="129">
        <f t="shared" si="5"/>
        <v>0</v>
      </c>
      <c r="M99" s="129">
        <f t="shared" si="4"/>
        <v>0</v>
      </c>
    </row>
    <row r="100" spans="1:13">
      <c r="A100" s="150" t="s">
        <v>273</v>
      </c>
      <c r="B100" s="151" t="s">
        <v>274</v>
      </c>
      <c r="C100" s="158">
        <v>2000000</v>
      </c>
      <c r="D100" s="142">
        <v>2000000</v>
      </c>
      <c r="E100" s="142">
        <v>0</v>
      </c>
      <c r="F100" s="143">
        <v>0</v>
      </c>
      <c r="H100" s="141">
        <f t="shared" si="7"/>
        <v>17085</v>
      </c>
      <c r="I100" s="142">
        <f t="shared" si="7"/>
        <v>250</v>
      </c>
      <c r="J100" s="142">
        <f t="shared" si="7"/>
        <v>15200</v>
      </c>
      <c r="K100" s="143">
        <f t="shared" si="6"/>
        <v>1635</v>
      </c>
      <c r="L100" s="129">
        <f t="shared" si="5"/>
        <v>0</v>
      </c>
      <c r="M100" s="129">
        <f t="shared" si="4"/>
        <v>0</v>
      </c>
    </row>
    <row r="101" spans="1:13" ht="12.75" hidden="1" customHeight="1">
      <c r="A101" s="159" t="s">
        <v>275</v>
      </c>
      <c r="B101" s="160" t="s">
        <v>276</v>
      </c>
      <c r="C101" s="158">
        <v>0</v>
      </c>
      <c r="D101" s="142">
        <v>0</v>
      </c>
      <c r="E101" s="142">
        <v>0</v>
      </c>
      <c r="F101" s="143">
        <v>0</v>
      </c>
      <c r="H101" s="148">
        <f t="shared" si="7"/>
        <v>2000</v>
      </c>
      <c r="I101" s="148">
        <f t="shared" si="7"/>
        <v>2000</v>
      </c>
      <c r="J101" s="148">
        <f t="shared" si="7"/>
        <v>0</v>
      </c>
      <c r="K101" s="149">
        <f t="shared" si="6"/>
        <v>0</v>
      </c>
      <c r="L101" s="129">
        <f t="shared" si="5"/>
        <v>0</v>
      </c>
      <c r="M101" s="129">
        <f t="shared" si="4"/>
        <v>0</v>
      </c>
    </row>
    <row r="102" spans="1:13">
      <c r="A102" s="150"/>
      <c r="B102" s="151"/>
      <c r="C102" s="141"/>
      <c r="D102" s="142"/>
      <c r="E102" s="142"/>
      <c r="F102" s="143"/>
      <c r="H102" s="158">
        <f t="shared" si="7"/>
        <v>0</v>
      </c>
      <c r="I102" s="142">
        <f t="shared" si="7"/>
        <v>0</v>
      </c>
      <c r="J102" s="142">
        <f t="shared" si="7"/>
        <v>0</v>
      </c>
      <c r="K102" s="143">
        <f t="shared" si="6"/>
        <v>0</v>
      </c>
      <c r="L102" s="129">
        <f t="shared" si="5"/>
        <v>0</v>
      </c>
      <c r="M102" s="129">
        <f t="shared" si="4"/>
        <v>0</v>
      </c>
    </row>
    <row r="103" spans="1:13" s="155" customFormat="1">
      <c r="A103" s="153" t="s">
        <v>277</v>
      </c>
      <c r="B103" s="154" t="s">
        <v>278</v>
      </c>
      <c r="C103" s="148">
        <v>92698623.430000007</v>
      </c>
      <c r="D103" s="148">
        <v>23033520</v>
      </c>
      <c r="E103" s="148">
        <v>19300000</v>
      </c>
      <c r="F103" s="149">
        <v>50365103.43</v>
      </c>
      <c r="H103" s="158">
        <f t="shared" si="7"/>
        <v>0</v>
      </c>
      <c r="I103" s="142">
        <f t="shared" si="7"/>
        <v>0</v>
      </c>
      <c r="J103" s="142">
        <f t="shared" si="7"/>
        <v>0</v>
      </c>
      <c r="K103" s="143">
        <f t="shared" si="6"/>
        <v>0</v>
      </c>
      <c r="L103" s="156">
        <f t="shared" si="5"/>
        <v>0</v>
      </c>
      <c r="M103" s="156">
        <f t="shared" si="4"/>
        <v>0</v>
      </c>
    </row>
    <row r="104" spans="1:13">
      <c r="A104" s="150" t="s">
        <v>279</v>
      </c>
      <c r="B104" s="151" t="s">
        <v>280</v>
      </c>
      <c r="C104" s="158">
        <v>59641603.43</v>
      </c>
      <c r="D104" s="142">
        <v>20430000</v>
      </c>
      <c r="E104" s="142">
        <v>19300000</v>
      </c>
      <c r="F104" s="143">
        <v>19911603.43</v>
      </c>
      <c r="G104" s="132"/>
      <c r="H104" s="158">
        <f t="shared" si="7"/>
        <v>92698.623430000007</v>
      </c>
      <c r="I104" s="142">
        <f t="shared" si="7"/>
        <v>23033.52</v>
      </c>
      <c r="J104" s="142">
        <f t="shared" si="7"/>
        <v>19300</v>
      </c>
      <c r="K104" s="143">
        <f t="shared" si="6"/>
        <v>50365.103430000003</v>
      </c>
      <c r="L104" s="129">
        <f t="shared" si="5"/>
        <v>0</v>
      </c>
      <c r="M104" s="129">
        <f t="shared" si="4"/>
        <v>0</v>
      </c>
    </row>
    <row r="105" spans="1:13" ht="12.75" hidden="1" customHeight="1">
      <c r="A105" s="159" t="s">
        <v>281</v>
      </c>
      <c r="B105" s="160" t="s">
        <v>282</v>
      </c>
      <c r="C105" s="158">
        <v>0</v>
      </c>
      <c r="D105" s="142">
        <v>0</v>
      </c>
      <c r="E105" s="142">
        <v>0</v>
      </c>
      <c r="F105" s="143">
        <v>0</v>
      </c>
      <c r="H105" s="158">
        <f t="shared" si="7"/>
        <v>59641.603430000003</v>
      </c>
      <c r="I105" s="142">
        <f t="shared" si="7"/>
        <v>20430</v>
      </c>
      <c r="J105" s="142">
        <f t="shared" si="7"/>
        <v>19300</v>
      </c>
      <c r="K105" s="143">
        <f t="shared" si="6"/>
        <v>19911.603429999999</v>
      </c>
      <c r="L105" s="129">
        <f t="shared" si="5"/>
        <v>0</v>
      </c>
      <c r="M105" s="129">
        <f t="shared" si="4"/>
        <v>0</v>
      </c>
    </row>
    <row r="106" spans="1:13" ht="12.75" hidden="1" customHeight="1">
      <c r="A106" s="150" t="s">
        <v>283</v>
      </c>
      <c r="B106" s="151" t="s">
        <v>284</v>
      </c>
      <c r="C106" s="158">
        <v>0</v>
      </c>
      <c r="D106" s="142">
        <v>0</v>
      </c>
      <c r="E106" s="142">
        <v>0</v>
      </c>
      <c r="F106" s="143">
        <v>0</v>
      </c>
      <c r="H106" s="158">
        <f t="shared" si="7"/>
        <v>0</v>
      </c>
      <c r="I106" s="142">
        <f t="shared" si="7"/>
        <v>0</v>
      </c>
      <c r="J106" s="142">
        <f t="shared" si="7"/>
        <v>0</v>
      </c>
      <c r="K106" s="143">
        <f t="shared" si="6"/>
        <v>0</v>
      </c>
      <c r="L106" s="129">
        <f t="shared" si="5"/>
        <v>0</v>
      </c>
      <c r="M106" s="129">
        <f t="shared" si="4"/>
        <v>0</v>
      </c>
    </row>
    <row r="107" spans="1:13" ht="25.5" customHeight="1">
      <c r="A107" s="150" t="s">
        <v>285</v>
      </c>
      <c r="B107" s="151" t="s">
        <v>286</v>
      </c>
      <c r="C107" s="158">
        <v>8192500</v>
      </c>
      <c r="D107" s="142">
        <v>565000</v>
      </c>
      <c r="E107" s="142">
        <v>0</v>
      </c>
      <c r="F107" s="143">
        <v>7627500</v>
      </c>
      <c r="H107" s="158">
        <f t="shared" si="7"/>
        <v>0</v>
      </c>
      <c r="I107" s="142">
        <f t="shared" si="7"/>
        <v>0</v>
      </c>
      <c r="J107" s="142">
        <f t="shared" si="7"/>
        <v>0</v>
      </c>
      <c r="K107" s="143">
        <f t="shared" si="6"/>
        <v>0</v>
      </c>
      <c r="L107" s="129">
        <f t="shared" si="5"/>
        <v>0</v>
      </c>
      <c r="M107" s="129">
        <f t="shared" si="4"/>
        <v>0</v>
      </c>
    </row>
    <row r="108" spans="1:13">
      <c r="A108" s="150" t="s">
        <v>287</v>
      </c>
      <c r="B108" s="151" t="s">
        <v>288</v>
      </c>
      <c r="C108" s="158">
        <v>282500</v>
      </c>
      <c r="D108" s="142">
        <v>0</v>
      </c>
      <c r="E108" s="142">
        <v>0</v>
      </c>
      <c r="F108" s="143">
        <v>282500</v>
      </c>
      <c r="H108" s="158">
        <f t="shared" si="7"/>
        <v>8192.5</v>
      </c>
      <c r="I108" s="142">
        <f t="shared" si="7"/>
        <v>565</v>
      </c>
      <c r="J108" s="142">
        <f t="shared" si="7"/>
        <v>0</v>
      </c>
      <c r="K108" s="143">
        <f t="shared" si="6"/>
        <v>7627.5</v>
      </c>
      <c r="L108" s="129">
        <f t="shared" si="5"/>
        <v>0</v>
      </c>
      <c r="M108" s="129">
        <f t="shared" si="4"/>
        <v>0</v>
      </c>
    </row>
    <row r="109" spans="1:13" ht="25.5">
      <c r="A109" s="150" t="s">
        <v>289</v>
      </c>
      <c r="B109" s="151" t="s">
        <v>290</v>
      </c>
      <c r="C109" s="158">
        <v>1921000</v>
      </c>
      <c r="D109" s="142">
        <v>226000</v>
      </c>
      <c r="E109" s="142">
        <v>0</v>
      </c>
      <c r="F109" s="143">
        <v>1695000</v>
      </c>
      <c r="H109" s="158">
        <f t="shared" si="7"/>
        <v>282.5</v>
      </c>
      <c r="I109" s="142">
        <f t="shared" si="7"/>
        <v>0</v>
      </c>
      <c r="J109" s="142">
        <f t="shared" si="7"/>
        <v>0</v>
      </c>
      <c r="K109" s="143">
        <f t="shared" si="6"/>
        <v>282.5</v>
      </c>
      <c r="L109" s="129">
        <f t="shared" si="5"/>
        <v>0</v>
      </c>
      <c r="M109" s="129">
        <f t="shared" si="4"/>
        <v>0</v>
      </c>
    </row>
    <row r="110" spans="1:13" ht="25.5">
      <c r="A110" s="150" t="s">
        <v>291</v>
      </c>
      <c r="B110" s="151" t="s">
        <v>292</v>
      </c>
      <c r="C110" s="158">
        <v>11164400</v>
      </c>
      <c r="D110" s="142">
        <v>372900</v>
      </c>
      <c r="E110" s="142">
        <v>0</v>
      </c>
      <c r="F110" s="143">
        <v>10791500</v>
      </c>
      <c r="H110" s="158">
        <f t="shared" si="7"/>
        <v>1921</v>
      </c>
      <c r="I110" s="142">
        <f t="shared" si="7"/>
        <v>226</v>
      </c>
      <c r="J110" s="142">
        <f t="shared" si="7"/>
        <v>0</v>
      </c>
      <c r="K110" s="143">
        <f t="shared" si="6"/>
        <v>1695</v>
      </c>
      <c r="L110" s="129">
        <f t="shared" si="5"/>
        <v>0</v>
      </c>
      <c r="M110" s="129">
        <f t="shared" si="4"/>
        <v>0</v>
      </c>
    </row>
    <row r="111" spans="1:13" ht="26.25" customHeight="1">
      <c r="A111" s="150" t="s">
        <v>293</v>
      </c>
      <c r="B111" s="151" t="s">
        <v>294</v>
      </c>
      <c r="C111" s="158">
        <v>10848000</v>
      </c>
      <c r="D111" s="142">
        <v>960500</v>
      </c>
      <c r="E111" s="142">
        <v>0</v>
      </c>
      <c r="F111" s="143">
        <v>9887500</v>
      </c>
      <c r="H111" s="141">
        <f t="shared" si="7"/>
        <v>11164.4</v>
      </c>
      <c r="I111" s="142">
        <f t="shared" si="7"/>
        <v>372.9</v>
      </c>
      <c r="J111" s="142">
        <f t="shared" si="7"/>
        <v>0</v>
      </c>
      <c r="K111" s="143">
        <f t="shared" si="6"/>
        <v>10791.5</v>
      </c>
      <c r="L111" s="129">
        <f t="shared" si="5"/>
        <v>0</v>
      </c>
      <c r="M111" s="129">
        <f t="shared" si="4"/>
        <v>0</v>
      </c>
    </row>
    <row r="112" spans="1:13">
      <c r="A112" s="150" t="s">
        <v>295</v>
      </c>
      <c r="B112" s="151" t="s">
        <v>296</v>
      </c>
      <c r="C112" s="158">
        <v>648620</v>
      </c>
      <c r="D112" s="142">
        <v>479120</v>
      </c>
      <c r="E112" s="142">
        <v>0</v>
      </c>
      <c r="F112" s="143">
        <v>169500</v>
      </c>
      <c r="H112" s="148">
        <f t="shared" si="7"/>
        <v>10848</v>
      </c>
      <c r="I112" s="148">
        <f t="shared" si="7"/>
        <v>960.5</v>
      </c>
      <c r="J112" s="148">
        <f t="shared" si="7"/>
        <v>0</v>
      </c>
      <c r="K112" s="149">
        <f t="shared" si="6"/>
        <v>9887.5</v>
      </c>
      <c r="L112" s="129">
        <f t="shared" si="5"/>
        <v>0</v>
      </c>
      <c r="M112" s="129">
        <f t="shared" si="4"/>
        <v>0</v>
      </c>
    </row>
    <row r="113" spans="1:13">
      <c r="A113" s="150"/>
      <c r="B113" s="151"/>
      <c r="C113" s="141"/>
      <c r="D113" s="142"/>
      <c r="E113" s="142"/>
      <c r="F113" s="143"/>
      <c r="H113" s="158">
        <f t="shared" si="7"/>
        <v>648.62</v>
      </c>
      <c r="I113" s="142">
        <f t="shared" si="7"/>
        <v>479.12</v>
      </c>
      <c r="J113" s="142">
        <f t="shared" si="7"/>
        <v>0</v>
      </c>
      <c r="K113" s="143">
        <f t="shared" si="6"/>
        <v>169.5</v>
      </c>
      <c r="L113" s="129">
        <f t="shared" si="5"/>
        <v>0</v>
      </c>
      <c r="M113" s="129">
        <f t="shared" si="4"/>
        <v>0</v>
      </c>
    </row>
    <row r="114" spans="1:13" s="155" customFormat="1">
      <c r="A114" s="153" t="s">
        <v>297</v>
      </c>
      <c r="B114" s="154" t="s">
        <v>298</v>
      </c>
      <c r="C114" s="148">
        <v>50000</v>
      </c>
      <c r="D114" s="148">
        <v>0</v>
      </c>
      <c r="E114" s="148">
        <v>0</v>
      </c>
      <c r="F114" s="149">
        <v>50000</v>
      </c>
      <c r="H114" s="158">
        <f t="shared" si="7"/>
        <v>0</v>
      </c>
      <c r="I114" s="142">
        <f t="shared" si="7"/>
        <v>0</v>
      </c>
      <c r="J114" s="142">
        <f t="shared" si="7"/>
        <v>0</v>
      </c>
      <c r="K114" s="143">
        <f t="shared" si="6"/>
        <v>0</v>
      </c>
      <c r="L114" s="156">
        <f t="shared" si="5"/>
        <v>0</v>
      </c>
      <c r="M114" s="156">
        <f t="shared" si="4"/>
        <v>0</v>
      </c>
    </row>
    <row r="115" spans="1:13" ht="12.75" hidden="1" customHeight="1">
      <c r="A115" s="159" t="s">
        <v>299</v>
      </c>
      <c r="B115" s="160" t="s">
        <v>300</v>
      </c>
      <c r="C115" s="158">
        <v>0</v>
      </c>
      <c r="D115" s="142">
        <v>0</v>
      </c>
      <c r="E115" s="142">
        <v>0</v>
      </c>
      <c r="F115" s="143">
        <v>0</v>
      </c>
      <c r="H115" s="158">
        <f t="shared" si="7"/>
        <v>50</v>
      </c>
      <c r="I115" s="142">
        <f t="shared" si="7"/>
        <v>0</v>
      </c>
      <c r="J115" s="142">
        <f t="shared" si="7"/>
        <v>0</v>
      </c>
      <c r="K115" s="143">
        <f t="shared" si="6"/>
        <v>50</v>
      </c>
      <c r="L115" s="129">
        <f t="shared" si="5"/>
        <v>0</v>
      </c>
      <c r="M115" s="129">
        <f t="shared" si="4"/>
        <v>0</v>
      </c>
    </row>
    <row r="116" spans="1:13" ht="12.75" hidden="1" customHeight="1">
      <c r="A116" s="159" t="s">
        <v>301</v>
      </c>
      <c r="B116" s="160" t="s">
        <v>302</v>
      </c>
      <c r="C116" s="158">
        <v>0</v>
      </c>
      <c r="D116" s="142">
        <v>0</v>
      </c>
      <c r="E116" s="142">
        <v>0</v>
      </c>
      <c r="F116" s="143">
        <v>0</v>
      </c>
      <c r="H116" s="158">
        <f t="shared" si="7"/>
        <v>0</v>
      </c>
      <c r="I116" s="142">
        <f t="shared" si="7"/>
        <v>0</v>
      </c>
      <c r="J116" s="142">
        <f t="shared" si="7"/>
        <v>0</v>
      </c>
      <c r="K116" s="143">
        <f t="shared" si="6"/>
        <v>0</v>
      </c>
      <c r="L116" s="129">
        <f t="shared" si="5"/>
        <v>0</v>
      </c>
      <c r="M116" s="129">
        <f t="shared" si="4"/>
        <v>0</v>
      </c>
    </row>
    <row r="117" spans="1:13" ht="12.75" hidden="1" customHeight="1">
      <c r="A117" s="159" t="s">
        <v>303</v>
      </c>
      <c r="B117" s="160" t="s">
        <v>304</v>
      </c>
      <c r="C117" s="158">
        <v>0</v>
      </c>
      <c r="D117" s="142">
        <v>0</v>
      </c>
      <c r="E117" s="142">
        <v>0</v>
      </c>
      <c r="F117" s="143">
        <v>0</v>
      </c>
      <c r="H117" s="141">
        <f t="shared" si="7"/>
        <v>0</v>
      </c>
      <c r="I117" s="142">
        <f t="shared" si="7"/>
        <v>0</v>
      </c>
      <c r="J117" s="142">
        <f t="shared" si="7"/>
        <v>0</v>
      </c>
      <c r="K117" s="143">
        <f t="shared" si="6"/>
        <v>0</v>
      </c>
      <c r="L117" s="129">
        <f t="shared" si="5"/>
        <v>0</v>
      </c>
      <c r="M117" s="129">
        <f t="shared" si="4"/>
        <v>0</v>
      </c>
    </row>
    <row r="118" spans="1:13">
      <c r="A118" s="150" t="s">
        <v>305</v>
      </c>
      <c r="B118" s="151" t="s">
        <v>306</v>
      </c>
      <c r="C118" s="158">
        <v>50000</v>
      </c>
      <c r="D118" s="142">
        <v>0</v>
      </c>
      <c r="E118" s="142">
        <v>0</v>
      </c>
      <c r="F118" s="143">
        <v>50000</v>
      </c>
      <c r="H118" s="148">
        <f t="shared" si="7"/>
        <v>0</v>
      </c>
      <c r="I118" s="148">
        <f t="shared" si="7"/>
        <v>0</v>
      </c>
      <c r="J118" s="148">
        <f t="shared" si="7"/>
        <v>0</v>
      </c>
      <c r="K118" s="149">
        <f t="shared" si="6"/>
        <v>0</v>
      </c>
      <c r="L118" s="129">
        <f t="shared" si="5"/>
        <v>0</v>
      </c>
      <c r="M118" s="129">
        <f t="shared" si="4"/>
        <v>0</v>
      </c>
    </row>
    <row r="119" spans="1:13">
      <c r="A119" s="150"/>
      <c r="B119" s="151"/>
      <c r="C119" s="141"/>
      <c r="D119" s="142"/>
      <c r="E119" s="142"/>
      <c r="F119" s="143"/>
      <c r="H119" s="158">
        <f t="shared" si="7"/>
        <v>50</v>
      </c>
      <c r="I119" s="142">
        <f t="shared" si="7"/>
        <v>0</v>
      </c>
      <c r="J119" s="142">
        <f t="shared" si="7"/>
        <v>0</v>
      </c>
      <c r="K119" s="143">
        <f t="shared" si="6"/>
        <v>50</v>
      </c>
      <c r="L119" s="129">
        <f t="shared" si="5"/>
        <v>0</v>
      </c>
      <c r="M119" s="129">
        <f t="shared" si="4"/>
        <v>0</v>
      </c>
    </row>
    <row r="120" spans="1:13" s="155" customFormat="1" ht="12.75" hidden="1" customHeight="1">
      <c r="A120" s="153" t="s">
        <v>307</v>
      </c>
      <c r="B120" s="154" t="s">
        <v>308</v>
      </c>
      <c r="C120" s="148">
        <v>0</v>
      </c>
      <c r="D120" s="148">
        <v>0</v>
      </c>
      <c r="E120" s="148">
        <v>0</v>
      </c>
      <c r="F120" s="149">
        <v>0</v>
      </c>
      <c r="H120" s="158">
        <f t="shared" si="7"/>
        <v>0</v>
      </c>
      <c r="I120" s="142">
        <f t="shared" si="7"/>
        <v>0</v>
      </c>
      <c r="J120" s="142">
        <f t="shared" si="7"/>
        <v>0</v>
      </c>
      <c r="K120" s="143">
        <f t="shared" si="6"/>
        <v>0</v>
      </c>
      <c r="L120" s="156">
        <f t="shared" si="5"/>
        <v>0</v>
      </c>
      <c r="M120" s="156">
        <f t="shared" si="4"/>
        <v>0</v>
      </c>
    </row>
    <row r="121" spans="1:13" ht="12.75" hidden="1" customHeight="1">
      <c r="A121" s="159" t="s">
        <v>309</v>
      </c>
      <c r="B121" s="160" t="s">
        <v>310</v>
      </c>
      <c r="C121" s="158">
        <v>0</v>
      </c>
      <c r="D121" s="142">
        <v>0</v>
      </c>
      <c r="E121" s="142">
        <v>0</v>
      </c>
      <c r="F121" s="143">
        <v>0</v>
      </c>
      <c r="H121" s="158">
        <f t="shared" si="7"/>
        <v>0</v>
      </c>
      <c r="I121" s="142">
        <f t="shared" si="7"/>
        <v>0</v>
      </c>
      <c r="J121" s="142">
        <f t="shared" si="7"/>
        <v>0</v>
      </c>
      <c r="K121" s="143">
        <f t="shared" si="6"/>
        <v>0</v>
      </c>
      <c r="L121" s="129">
        <f t="shared" si="5"/>
        <v>0</v>
      </c>
      <c r="M121" s="129">
        <f t="shared" si="4"/>
        <v>0</v>
      </c>
    </row>
    <row r="122" spans="1:13" ht="12.75" hidden="1" customHeight="1">
      <c r="A122" s="159" t="s">
        <v>311</v>
      </c>
      <c r="B122" s="160" t="s">
        <v>312</v>
      </c>
      <c r="C122" s="158">
        <v>0</v>
      </c>
      <c r="D122" s="142">
        <v>0</v>
      </c>
      <c r="E122" s="142">
        <v>0</v>
      </c>
      <c r="F122" s="143">
        <v>0</v>
      </c>
      <c r="H122" s="158">
        <f t="shared" si="7"/>
        <v>0</v>
      </c>
      <c r="I122" s="142">
        <f t="shared" si="7"/>
        <v>0</v>
      </c>
      <c r="J122" s="142">
        <f t="shared" si="7"/>
        <v>0</v>
      </c>
      <c r="K122" s="143">
        <f t="shared" si="6"/>
        <v>0</v>
      </c>
      <c r="L122" s="129">
        <f t="shared" si="5"/>
        <v>0</v>
      </c>
      <c r="M122" s="129">
        <f t="shared" si="4"/>
        <v>0</v>
      </c>
    </row>
    <row r="123" spans="1:13" ht="12.75" hidden="1" customHeight="1">
      <c r="A123" s="159" t="s">
        <v>313</v>
      </c>
      <c r="B123" s="160" t="s">
        <v>314</v>
      </c>
      <c r="C123" s="158">
        <v>0</v>
      </c>
      <c r="D123" s="142">
        <v>0</v>
      </c>
      <c r="E123" s="142">
        <v>0</v>
      </c>
      <c r="F123" s="143">
        <v>0</v>
      </c>
      <c r="H123" s="158">
        <f t="shared" si="7"/>
        <v>0</v>
      </c>
      <c r="I123" s="142">
        <f t="shared" si="7"/>
        <v>0</v>
      </c>
      <c r="J123" s="142">
        <f t="shared" si="7"/>
        <v>0</v>
      </c>
      <c r="K123" s="143">
        <f t="shared" si="6"/>
        <v>0</v>
      </c>
      <c r="L123" s="129">
        <f t="shared" si="5"/>
        <v>0</v>
      </c>
      <c r="M123" s="129">
        <f t="shared" si="4"/>
        <v>0</v>
      </c>
    </row>
    <row r="124" spans="1:13" ht="12.75" hidden="1" customHeight="1">
      <c r="A124" s="159" t="s">
        <v>315</v>
      </c>
      <c r="B124" s="160" t="s">
        <v>316</v>
      </c>
      <c r="C124" s="158">
        <v>0</v>
      </c>
      <c r="D124" s="142">
        <v>0</v>
      </c>
      <c r="E124" s="142">
        <v>0</v>
      </c>
      <c r="F124" s="143">
        <v>0</v>
      </c>
      <c r="H124" s="158">
        <f t="shared" si="7"/>
        <v>0</v>
      </c>
      <c r="I124" s="142">
        <f t="shared" si="7"/>
        <v>0</v>
      </c>
      <c r="J124" s="142">
        <f t="shared" si="7"/>
        <v>0</v>
      </c>
      <c r="K124" s="143">
        <f t="shared" si="6"/>
        <v>0</v>
      </c>
      <c r="L124" s="129">
        <f t="shared" si="5"/>
        <v>0</v>
      </c>
      <c r="M124" s="129">
        <f t="shared" si="4"/>
        <v>0</v>
      </c>
    </row>
    <row r="125" spans="1:13" ht="12.75" hidden="1" customHeight="1">
      <c r="A125" s="159" t="s">
        <v>317</v>
      </c>
      <c r="B125" s="160" t="s">
        <v>318</v>
      </c>
      <c r="C125" s="158">
        <v>0</v>
      </c>
      <c r="D125" s="142">
        <v>0</v>
      </c>
      <c r="E125" s="142">
        <v>0</v>
      </c>
      <c r="F125" s="143">
        <v>0</v>
      </c>
      <c r="H125" s="141">
        <f t="shared" si="7"/>
        <v>0</v>
      </c>
      <c r="I125" s="142">
        <f t="shared" si="7"/>
        <v>0</v>
      </c>
      <c r="J125" s="142">
        <f t="shared" si="7"/>
        <v>0</v>
      </c>
      <c r="K125" s="143">
        <f t="shared" si="6"/>
        <v>0</v>
      </c>
      <c r="L125" s="129">
        <f t="shared" si="5"/>
        <v>0</v>
      </c>
      <c r="M125" s="129">
        <f t="shared" si="4"/>
        <v>0</v>
      </c>
    </row>
    <row r="126" spans="1:13" ht="12.75" hidden="1" customHeight="1">
      <c r="A126" s="150" t="s">
        <v>319</v>
      </c>
      <c r="B126" s="151" t="s">
        <v>320</v>
      </c>
      <c r="C126" s="158">
        <v>0</v>
      </c>
      <c r="D126" s="142">
        <v>0</v>
      </c>
      <c r="E126" s="142">
        <v>0</v>
      </c>
      <c r="F126" s="143">
        <v>0</v>
      </c>
      <c r="H126" s="148">
        <f t="shared" si="7"/>
        <v>0</v>
      </c>
      <c r="I126" s="148">
        <f t="shared" si="7"/>
        <v>0</v>
      </c>
      <c r="J126" s="148">
        <f t="shared" si="7"/>
        <v>0</v>
      </c>
      <c r="K126" s="149">
        <f t="shared" si="6"/>
        <v>0</v>
      </c>
      <c r="L126" s="129">
        <f t="shared" si="5"/>
        <v>0</v>
      </c>
      <c r="M126" s="129">
        <f t="shared" si="4"/>
        <v>0</v>
      </c>
    </row>
    <row r="127" spans="1:13" ht="12.75" hidden="1" customHeight="1">
      <c r="A127" s="150"/>
      <c r="B127" s="151"/>
      <c r="C127" s="141"/>
      <c r="D127" s="142"/>
      <c r="E127" s="142"/>
      <c r="F127" s="143"/>
      <c r="H127" s="141">
        <f t="shared" si="7"/>
        <v>0</v>
      </c>
      <c r="I127" s="142">
        <f t="shared" si="7"/>
        <v>0</v>
      </c>
      <c r="J127" s="142">
        <f t="shared" si="7"/>
        <v>0</v>
      </c>
      <c r="K127" s="143">
        <f t="shared" si="6"/>
        <v>0</v>
      </c>
      <c r="L127" s="129">
        <f t="shared" si="5"/>
        <v>0</v>
      </c>
      <c r="M127" s="129">
        <f t="shared" si="4"/>
        <v>0</v>
      </c>
    </row>
    <row r="128" spans="1:13" s="155" customFormat="1">
      <c r="A128" s="153">
        <v>2</v>
      </c>
      <c r="B128" s="154" t="s">
        <v>321</v>
      </c>
      <c r="C128" s="148">
        <v>27874193</v>
      </c>
      <c r="D128" s="148">
        <v>12315193</v>
      </c>
      <c r="E128" s="148">
        <v>776000</v>
      </c>
      <c r="F128" s="149">
        <v>14783000</v>
      </c>
      <c r="H128" s="148">
        <f t="shared" si="7"/>
        <v>0</v>
      </c>
      <c r="I128" s="148">
        <f t="shared" si="7"/>
        <v>0</v>
      </c>
      <c r="J128" s="148">
        <f t="shared" si="7"/>
        <v>0</v>
      </c>
      <c r="K128" s="149">
        <f t="shared" si="6"/>
        <v>0</v>
      </c>
      <c r="L128" s="156">
        <f t="shared" si="5"/>
        <v>0</v>
      </c>
      <c r="M128" s="156">
        <f t="shared" si="4"/>
        <v>0</v>
      </c>
    </row>
    <row r="129" spans="1:13" ht="12" customHeight="1">
      <c r="A129" s="150"/>
      <c r="B129" s="151"/>
      <c r="C129" s="141"/>
      <c r="D129" s="142"/>
      <c r="E129" s="142"/>
      <c r="F129" s="143"/>
      <c r="H129" s="158">
        <f t="shared" si="7"/>
        <v>27874.192999999999</v>
      </c>
      <c r="I129" s="142">
        <f t="shared" si="7"/>
        <v>12315.192999999999</v>
      </c>
      <c r="J129" s="142">
        <f t="shared" si="7"/>
        <v>776</v>
      </c>
      <c r="K129" s="143">
        <f t="shared" si="6"/>
        <v>14783</v>
      </c>
      <c r="L129" s="129">
        <f t="shared" si="5"/>
        <v>0</v>
      </c>
      <c r="M129" s="129">
        <f t="shared" si="4"/>
        <v>0</v>
      </c>
    </row>
    <row r="130" spans="1:13" s="155" customFormat="1">
      <c r="A130" s="153" t="s">
        <v>322</v>
      </c>
      <c r="B130" s="154" t="s">
        <v>323</v>
      </c>
      <c r="C130" s="148">
        <v>4708000</v>
      </c>
      <c r="D130" s="148">
        <v>1833000</v>
      </c>
      <c r="E130" s="148">
        <v>130000</v>
      </c>
      <c r="F130" s="149">
        <v>2745000</v>
      </c>
      <c r="H130" s="158">
        <f t="shared" si="7"/>
        <v>0</v>
      </c>
      <c r="I130" s="142">
        <f t="shared" si="7"/>
        <v>0</v>
      </c>
      <c r="J130" s="142">
        <f t="shared" si="7"/>
        <v>0</v>
      </c>
      <c r="K130" s="143">
        <f t="shared" si="6"/>
        <v>0</v>
      </c>
      <c r="L130" s="156">
        <f t="shared" si="5"/>
        <v>0</v>
      </c>
      <c r="M130" s="156">
        <f t="shared" si="4"/>
        <v>0</v>
      </c>
    </row>
    <row r="131" spans="1:13">
      <c r="A131" s="150" t="s">
        <v>324</v>
      </c>
      <c r="B131" s="151" t="s">
        <v>325</v>
      </c>
      <c r="C131" s="158">
        <v>900000</v>
      </c>
      <c r="D131" s="142">
        <v>0</v>
      </c>
      <c r="E131" s="142">
        <v>0</v>
      </c>
      <c r="F131" s="143">
        <v>900000</v>
      </c>
      <c r="G131" s="132"/>
      <c r="H131" s="158">
        <f t="shared" si="7"/>
        <v>4708</v>
      </c>
      <c r="I131" s="142">
        <f t="shared" si="7"/>
        <v>1833</v>
      </c>
      <c r="J131" s="142">
        <f t="shared" si="7"/>
        <v>130</v>
      </c>
      <c r="K131" s="143">
        <f t="shared" si="6"/>
        <v>2745</v>
      </c>
      <c r="L131" s="129">
        <f t="shared" si="5"/>
        <v>0</v>
      </c>
      <c r="M131" s="129">
        <f t="shared" si="4"/>
        <v>0</v>
      </c>
    </row>
    <row r="132" spans="1:13" ht="12.75" customHeight="1">
      <c r="A132" s="150" t="s">
        <v>326</v>
      </c>
      <c r="B132" s="151" t="s">
        <v>327</v>
      </c>
      <c r="C132" s="158">
        <v>780000</v>
      </c>
      <c r="D132" s="142">
        <v>80000</v>
      </c>
      <c r="E132" s="142">
        <v>0</v>
      </c>
      <c r="F132" s="143">
        <v>700000</v>
      </c>
      <c r="H132" s="158">
        <f t="shared" si="7"/>
        <v>900</v>
      </c>
      <c r="I132" s="142">
        <f t="shared" si="7"/>
        <v>0</v>
      </c>
      <c r="J132" s="142">
        <f t="shared" si="7"/>
        <v>0</v>
      </c>
      <c r="K132" s="143">
        <f t="shared" si="6"/>
        <v>900</v>
      </c>
      <c r="L132" s="129">
        <f t="shared" si="5"/>
        <v>0</v>
      </c>
      <c r="M132" s="129">
        <f t="shared" si="4"/>
        <v>0</v>
      </c>
    </row>
    <row r="133" spans="1:13" ht="12.75" hidden="1" customHeight="1">
      <c r="A133" s="159" t="s">
        <v>328</v>
      </c>
      <c r="B133" s="160" t="s">
        <v>329</v>
      </c>
      <c r="C133" s="158">
        <v>0</v>
      </c>
      <c r="D133" s="142">
        <v>0</v>
      </c>
      <c r="E133" s="142">
        <v>0</v>
      </c>
      <c r="F133" s="143">
        <v>0</v>
      </c>
      <c r="H133" s="158">
        <f t="shared" si="7"/>
        <v>780</v>
      </c>
      <c r="I133" s="142">
        <f t="shared" si="7"/>
        <v>80</v>
      </c>
      <c r="J133" s="142">
        <f t="shared" si="7"/>
        <v>0</v>
      </c>
      <c r="K133" s="143">
        <f t="shared" si="6"/>
        <v>700</v>
      </c>
      <c r="L133" s="129">
        <f t="shared" si="5"/>
        <v>0</v>
      </c>
      <c r="M133" s="129">
        <f t="shared" si="4"/>
        <v>0</v>
      </c>
    </row>
    <row r="134" spans="1:13">
      <c r="A134" s="150" t="s">
        <v>330</v>
      </c>
      <c r="B134" s="151" t="s">
        <v>331</v>
      </c>
      <c r="C134" s="158">
        <v>2808000</v>
      </c>
      <c r="D134" s="142">
        <v>1653000</v>
      </c>
      <c r="E134" s="142">
        <v>130000</v>
      </c>
      <c r="F134" s="143">
        <v>1025000</v>
      </c>
      <c r="H134" s="141">
        <f t="shared" si="7"/>
        <v>0</v>
      </c>
      <c r="I134" s="142">
        <f t="shared" si="7"/>
        <v>0</v>
      </c>
      <c r="J134" s="142">
        <f t="shared" si="7"/>
        <v>0</v>
      </c>
      <c r="K134" s="143">
        <f t="shared" si="6"/>
        <v>0</v>
      </c>
      <c r="L134" s="129">
        <f t="shared" si="5"/>
        <v>0</v>
      </c>
      <c r="M134" s="129">
        <f t="shared" si="4"/>
        <v>0</v>
      </c>
    </row>
    <row r="135" spans="1:13" ht="12.75" customHeight="1">
      <c r="A135" s="150" t="s">
        <v>332</v>
      </c>
      <c r="B135" s="151" t="s">
        <v>333</v>
      </c>
      <c r="C135" s="158">
        <v>220000</v>
      </c>
      <c r="D135" s="142">
        <v>100000</v>
      </c>
      <c r="E135" s="142">
        <v>0</v>
      </c>
      <c r="F135" s="143">
        <v>120000</v>
      </c>
      <c r="H135" s="148">
        <f t="shared" si="7"/>
        <v>2808</v>
      </c>
      <c r="I135" s="148">
        <f t="shared" si="7"/>
        <v>1653</v>
      </c>
      <c r="J135" s="148">
        <f t="shared" si="7"/>
        <v>130</v>
      </c>
      <c r="K135" s="149">
        <f t="shared" si="6"/>
        <v>1025</v>
      </c>
      <c r="L135" s="129">
        <f t="shared" si="5"/>
        <v>0</v>
      </c>
      <c r="M135" s="129">
        <f t="shared" si="4"/>
        <v>0</v>
      </c>
    </row>
    <row r="136" spans="1:13">
      <c r="A136" s="150"/>
      <c r="B136" s="151"/>
      <c r="C136" s="141"/>
      <c r="D136" s="142"/>
      <c r="E136" s="142"/>
      <c r="F136" s="143"/>
      <c r="H136" s="158">
        <f t="shared" si="7"/>
        <v>220</v>
      </c>
      <c r="I136" s="142">
        <f t="shared" si="7"/>
        <v>100</v>
      </c>
      <c r="J136" s="142">
        <f t="shared" si="7"/>
        <v>0</v>
      </c>
      <c r="K136" s="143">
        <f t="shared" si="6"/>
        <v>120</v>
      </c>
      <c r="L136" s="129">
        <f t="shared" si="5"/>
        <v>0</v>
      </c>
      <c r="M136" s="129">
        <f t="shared" si="4"/>
        <v>0</v>
      </c>
    </row>
    <row r="137" spans="1:13" s="155" customFormat="1">
      <c r="A137" s="153" t="s">
        <v>334</v>
      </c>
      <c r="B137" s="154" t="s">
        <v>335</v>
      </c>
      <c r="C137" s="148">
        <v>250000</v>
      </c>
      <c r="D137" s="148">
        <v>0</v>
      </c>
      <c r="E137" s="148">
        <v>0</v>
      </c>
      <c r="F137" s="149">
        <v>250000</v>
      </c>
      <c r="H137" s="158">
        <f t="shared" si="7"/>
        <v>0</v>
      </c>
      <c r="I137" s="142">
        <f t="shared" si="7"/>
        <v>0</v>
      </c>
      <c r="J137" s="142">
        <f t="shared" si="7"/>
        <v>0</v>
      </c>
      <c r="K137" s="143">
        <f t="shared" si="6"/>
        <v>0</v>
      </c>
      <c r="L137" s="156">
        <f t="shared" si="5"/>
        <v>0</v>
      </c>
      <c r="M137" s="156">
        <f t="shared" si="4"/>
        <v>0</v>
      </c>
    </row>
    <row r="138" spans="1:13" ht="12.75" hidden="1" customHeight="1">
      <c r="A138" s="159" t="s">
        <v>336</v>
      </c>
      <c r="B138" s="160" t="s">
        <v>337</v>
      </c>
      <c r="C138" s="158">
        <v>0</v>
      </c>
      <c r="D138" s="142">
        <v>0</v>
      </c>
      <c r="E138" s="142">
        <v>0</v>
      </c>
      <c r="F138" s="143">
        <v>0</v>
      </c>
      <c r="H138" s="158">
        <f t="shared" si="7"/>
        <v>250</v>
      </c>
      <c r="I138" s="142">
        <f t="shared" si="7"/>
        <v>0</v>
      </c>
      <c r="J138" s="142">
        <f t="shared" si="7"/>
        <v>0</v>
      </c>
      <c r="K138" s="143">
        <f t="shared" si="6"/>
        <v>250</v>
      </c>
      <c r="L138" s="129">
        <f t="shared" si="5"/>
        <v>0</v>
      </c>
      <c r="M138" s="129">
        <f t="shared" si="4"/>
        <v>0</v>
      </c>
    </row>
    <row r="139" spans="1:13" ht="15" hidden="1" customHeight="1">
      <c r="A139" s="150" t="s">
        <v>338</v>
      </c>
      <c r="B139" s="151" t="s">
        <v>339</v>
      </c>
      <c r="C139" s="158">
        <v>0</v>
      </c>
      <c r="D139" s="142">
        <v>0</v>
      </c>
      <c r="E139" s="142">
        <v>0</v>
      </c>
      <c r="F139" s="143">
        <v>0</v>
      </c>
      <c r="H139" s="158">
        <f t="shared" si="7"/>
        <v>0</v>
      </c>
      <c r="I139" s="142">
        <f t="shared" si="7"/>
        <v>0</v>
      </c>
      <c r="J139" s="142">
        <f t="shared" si="7"/>
        <v>0</v>
      </c>
      <c r="K139" s="143">
        <f t="shared" si="6"/>
        <v>0</v>
      </c>
      <c r="L139" s="129">
        <f t="shared" si="5"/>
        <v>0</v>
      </c>
      <c r="M139" s="129">
        <f t="shared" ref="M139:M202" si="8">+H140-C139/1000</f>
        <v>0</v>
      </c>
    </row>
    <row r="140" spans="1:13">
      <c r="A140" s="150" t="s">
        <v>340</v>
      </c>
      <c r="B140" s="151" t="s">
        <v>341</v>
      </c>
      <c r="C140" s="158">
        <v>250000</v>
      </c>
      <c r="D140" s="142">
        <v>0</v>
      </c>
      <c r="E140" s="142">
        <v>0</v>
      </c>
      <c r="F140" s="143">
        <v>250000</v>
      </c>
      <c r="H140" s="141">
        <f t="shared" si="7"/>
        <v>0</v>
      </c>
      <c r="I140" s="142">
        <f t="shared" si="7"/>
        <v>0</v>
      </c>
      <c r="J140" s="142">
        <f t="shared" si="7"/>
        <v>0</v>
      </c>
      <c r="K140" s="143">
        <f t="shared" si="6"/>
        <v>0</v>
      </c>
      <c r="L140" s="129">
        <f t="shared" ref="L140:L203" si="9">SUM(I141:K141)-H141</f>
        <v>0</v>
      </c>
      <c r="M140" s="129">
        <f t="shared" si="8"/>
        <v>0</v>
      </c>
    </row>
    <row r="141" spans="1:13" ht="12.75" hidden="1" customHeight="1">
      <c r="A141" s="159" t="s">
        <v>342</v>
      </c>
      <c r="B141" s="160" t="s">
        <v>343</v>
      </c>
      <c r="C141" s="158">
        <v>0</v>
      </c>
      <c r="D141" s="142">
        <v>0</v>
      </c>
      <c r="E141" s="142">
        <v>0</v>
      </c>
      <c r="F141" s="143">
        <v>0</v>
      </c>
      <c r="H141" s="148">
        <f t="shared" si="7"/>
        <v>250</v>
      </c>
      <c r="I141" s="148">
        <f t="shared" si="7"/>
        <v>0</v>
      </c>
      <c r="J141" s="148">
        <f t="shared" si="7"/>
        <v>0</v>
      </c>
      <c r="K141" s="149">
        <f t="shared" si="6"/>
        <v>250</v>
      </c>
      <c r="L141" s="129">
        <f t="shared" si="9"/>
        <v>0</v>
      </c>
      <c r="M141" s="129">
        <f t="shared" si="8"/>
        <v>0</v>
      </c>
    </row>
    <row r="142" spans="1:13">
      <c r="A142" s="150"/>
      <c r="B142" s="165"/>
      <c r="C142" s="141"/>
      <c r="D142" s="142"/>
      <c r="E142" s="142"/>
      <c r="F142" s="143"/>
      <c r="H142" s="158">
        <f t="shared" si="7"/>
        <v>0</v>
      </c>
      <c r="I142" s="142">
        <f t="shared" si="7"/>
        <v>0</v>
      </c>
      <c r="J142" s="142">
        <f t="shared" si="7"/>
        <v>0</v>
      </c>
      <c r="K142" s="143">
        <f t="shared" si="6"/>
        <v>0</v>
      </c>
      <c r="L142" s="129">
        <f t="shared" si="9"/>
        <v>0</v>
      </c>
      <c r="M142" s="129">
        <f t="shared" si="8"/>
        <v>0</v>
      </c>
    </row>
    <row r="143" spans="1:13" s="155" customFormat="1" ht="25.5" customHeight="1">
      <c r="A143" s="153" t="s">
        <v>344</v>
      </c>
      <c r="B143" s="154" t="s">
        <v>345</v>
      </c>
      <c r="C143" s="148">
        <v>6925000</v>
      </c>
      <c r="D143" s="148">
        <v>800000</v>
      </c>
      <c r="E143" s="148">
        <v>0</v>
      </c>
      <c r="F143" s="149">
        <v>6125000</v>
      </c>
      <c r="H143" s="158">
        <f t="shared" si="7"/>
        <v>0</v>
      </c>
      <c r="I143" s="142">
        <f t="shared" si="7"/>
        <v>0</v>
      </c>
      <c r="J143" s="142">
        <f t="shared" si="7"/>
        <v>0</v>
      </c>
      <c r="K143" s="143">
        <f t="shared" si="6"/>
        <v>0</v>
      </c>
      <c r="L143" s="156">
        <f t="shared" si="9"/>
        <v>0</v>
      </c>
      <c r="M143" s="156">
        <f t="shared" si="8"/>
        <v>0</v>
      </c>
    </row>
    <row r="144" spans="1:13">
      <c r="A144" s="150" t="s">
        <v>346</v>
      </c>
      <c r="B144" s="151" t="s">
        <v>347</v>
      </c>
      <c r="C144" s="158">
        <v>350000</v>
      </c>
      <c r="D144" s="142">
        <v>0</v>
      </c>
      <c r="E144" s="142">
        <v>0</v>
      </c>
      <c r="F144" s="143">
        <v>350000</v>
      </c>
      <c r="G144" s="132"/>
      <c r="H144" s="158">
        <f t="shared" si="7"/>
        <v>6925</v>
      </c>
      <c r="I144" s="142">
        <f t="shared" si="7"/>
        <v>800</v>
      </c>
      <c r="J144" s="142">
        <f t="shared" si="7"/>
        <v>0</v>
      </c>
      <c r="K144" s="143">
        <f t="shared" si="6"/>
        <v>6125</v>
      </c>
      <c r="L144" s="129">
        <f t="shared" si="9"/>
        <v>0</v>
      </c>
      <c r="M144" s="129">
        <f t="shared" si="8"/>
        <v>0</v>
      </c>
    </row>
    <row r="145" spans="1:13">
      <c r="A145" s="150" t="s">
        <v>348</v>
      </c>
      <c r="B145" s="151" t="s">
        <v>349</v>
      </c>
      <c r="C145" s="158">
        <v>100000</v>
      </c>
      <c r="D145" s="142">
        <v>0</v>
      </c>
      <c r="E145" s="142">
        <v>0</v>
      </c>
      <c r="F145" s="143">
        <v>100000</v>
      </c>
      <c r="H145" s="158">
        <f t="shared" si="7"/>
        <v>350</v>
      </c>
      <c r="I145" s="142">
        <f t="shared" si="7"/>
        <v>0</v>
      </c>
      <c r="J145" s="142">
        <f t="shared" si="7"/>
        <v>0</v>
      </c>
      <c r="K145" s="143">
        <f t="shared" si="6"/>
        <v>350</v>
      </c>
      <c r="L145" s="129">
        <f t="shared" si="9"/>
        <v>0</v>
      </c>
      <c r="M145" s="129">
        <f t="shared" si="8"/>
        <v>0</v>
      </c>
    </row>
    <row r="146" spans="1:13">
      <c r="A146" s="150" t="s">
        <v>350</v>
      </c>
      <c r="B146" s="151" t="s">
        <v>351</v>
      </c>
      <c r="C146" s="158">
        <v>100000</v>
      </c>
      <c r="D146" s="142">
        <v>0</v>
      </c>
      <c r="E146" s="142">
        <v>0</v>
      </c>
      <c r="F146" s="143">
        <v>100000</v>
      </c>
      <c r="H146" s="158">
        <f t="shared" si="7"/>
        <v>100</v>
      </c>
      <c r="I146" s="142">
        <f t="shared" si="7"/>
        <v>0</v>
      </c>
      <c r="J146" s="142">
        <f t="shared" si="7"/>
        <v>0</v>
      </c>
      <c r="K146" s="143">
        <f t="shared" si="6"/>
        <v>100</v>
      </c>
      <c r="L146" s="129">
        <f t="shared" si="9"/>
        <v>0</v>
      </c>
      <c r="M146" s="129">
        <f t="shared" si="8"/>
        <v>0</v>
      </c>
    </row>
    <row r="147" spans="1:13" ht="25.5" customHeight="1">
      <c r="A147" s="150" t="s">
        <v>352</v>
      </c>
      <c r="B147" s="151" t="s">
        <v>353</v>
      </c>
      <c r="C147" s="158">
        <v>3400000</v>
      </c>
      <c r="D147" s="142">
        <v>0</v>
      </c>
      <c r="E147" s="142">
        <v>0</v>
      </c>
      <c r="F147" s="143">
        <v>3400000</v>
      </c>
      <c r="H147" s="158">
        <f t="shared" si="7"/>
        <v>100</v>
      </c>
      <c r="I147" s="142">
        <f t="shared" si="7"/>
        <v>0</v>
      </c>
      <c r="J147" s="142">
        <f t="shared" si="7"/>
        <v>0</v>
      </c>
      <c r="K147" s="143">
        <f t="shared" si="6"/>
        <v>100</v>
      </c>
      <c r="L147" s="129">
        <f t="shared" si="9"/>
        <v>0</v>
      </c>
      <c r="M147" s="129">
        <f t="shared" si="8"/>
        <v>0</v>
      </c>
    </row>
    <row r="148" spans="1:13">
      <c r="A148" s="150" t="s">
        <v>354</v>
      </c>
      <c r="B148" s="151" t="s">
        <v>355</v>
      </c>
      <c r="C148" s="158">
        <v>500000</v>
      </c>
      <c r="D148" s="142">
        <v>0</v>
      </c>
      <c r="E148" s="142">
        <v>0</v>
      </c>
      <c r="F148" s="143">
        <v>500000</v>
      </c>
      <c r="H148" s="158">
        <f t="shared" si="7"/>
        <v>3400</v>
      </c>
      <c r="I148" s="142">
        <f t="shared" si="7"/>
        <v>0</v>
      </c>
      <c r="J148" s="142">
        <f t="shared" si="7"/>
        <v>0</v>
      </c>
      <c r="K148" s="143">
        <f t="shared" si="6"/>
        <v>3400</v>
      </c>
      <c r="L148" s="129">
        <f t="shared" si="9"/>
        <v>0</v>
      </c>
      <c r="M148" s="129">
        <f t="shared" si="8"/>
        <v>0</v>
      </c>
    </row>
    <row r="149" spans="1:13">
      <c r="A149" s="150" t="s">
        <v>356</v>
      </c>
      <c r="B149" s="151" t="s">
        <v>357</v>
      </c>
      <c r="C149" s="158">
        <v>975000</v>
      </c>
      <c r="D149" s="142">
        <v>800000</v>
      </c>
      <c r="E149" s="142">
        <v>0</v>
      </c>
      <c r="F149" s="143">
        <v>175000</v>
      </c>
      <c r="H149" s="141">
        <f t="shared" si="7"/>
        <v>500</v>
      </c>
      <c r="I149" s="142">
        <f t="shared" si="7"/>
        <v>0</v>
      </c>
      <c r="J149" s="142">
        <f t="shared" si="7"/>
        <v>0</v>
      </c>
      <c r="K149" s="143">
        <f t="shared" si="6"/>
        <v>500</v>
      </c>
      <c r="L149" s="129">
        <f t="shared" si="9"/>
        <v>0</v>
      </c>
      <c r="M149" s="129">
        <f t="shared" si="8"/>
        <v>0</v>
      </c>
    </row>
    <row r="150" spans="1:13" ht="25.5">
      <c r="A150" s="150" t="s">
        <v>358</v>
      </c>
      <c r="B150" s="151" t="s">
        <v>359</v>
      </c>
      <c r="C150" s="158">
        <v>1500000</v>
      </c>
      <c r="D150" s="142">
        <v>0</v>
      </c>
      <c r="E150" s="142">
        <v>0</v>
      </c>
      <c r="F150" s="143">
        <v>1500000</v>
      </c>
      <c r="H150" s="148">
        <f t="shared" si="7"/>
        <v>975</v>
      </c>
      <c r="I150" s="148">
        <f t="shared" si="7"/>
        <v>800</v>
      </c>
      <c r="J150" s="148">
        <f t="shared" si="7"/>
        <v>0</v>
      </c>
      <c r="K150" s="149">
        <f t="shared" si="6"/>
        <v>175</v>
      </c>
      <c r="L150" s="129">
        <f t="shared" si="9"/>
        <v>0</v>
      </c>
      <c r="M150" s="129">
        <f t="shared" si="8"/>
        <v>0</v>
      </c>
    </row>
    <row r="151" spans="1:13">
      <c r="A151" s="150"/>
      <c r="B151" s="151"/>
      <c r="C151" s="141"/>
      <c r="D151" s="142"/>
      <c r="E151" s="142"/>
      <c r="F151" s="143"/>
      <c r="H151" s="158">
        <f t="shared" si="7"/>
        <v>1500</v>
      </c>
      <c r="I151" s="142">
        <f t="shared" si="7"/>
        <v>0</v>
      </c>
      <c r="J151" s="142">
        <f t="shared" si="7"/>
        <v>0</v>
      </c>
      <c r="K151" s="143">
        <f t="shared" si="6"/>
        <v>1500</v>
      </c>
      <c r="L151" s="129">
        <f t="shared" si="9"/>
        <v>0</v>
      </c>
      <c r="M151" s="129">
        <f t="shared" si="8"/>
        <v>0</v>
      </c>
    </row>
    <row r="152" spans="1:13" ht="30" customHeight="1">
      <c r="A152" s="153" t="s">
        <v>360</v>
      </c>
      <c r="B152" s="154" t="s">
        <v>361</v>
      </c>
      <c r="C152" s="148">
        <v>2509085</v>
      </c>
      <c r="D152" s="148">
        <v>1359085</v>
      </c>
      <c r="E152" s="148">
        <v>0</v>
      </c>
      <c r="F152" s="149">
        <v>1150000</v>
      </c>
      <c r="H152" s="158">
        <f t="shared" si="7"/>
        <v>0</v>
      </c>
      <c r="I152" s="142">
        <f t="shared" si="7"/>
        <v>0</v>
      </c>
      <c r="J152" s="142">
        <f t="shared" si="7"/>
        <v>0</v>
      </c>
      <c r="K152" s="143">
        <f t="shared" si="6"/>
        <v>0</v>
      </c>
      <c r="L152" s="129">
        <f t="shared" si="9"/>
        <v>0</v>
      </c>
      <c r="M152" s="129">
        <f t="shared" si="8"/>
        <v>0</v>
      </c>
    </row>
    <row r="153" spans="1:13">
      <c r="A153" s="150" t="s">
        <v>362</v>
      </c>
      <c r="B153" s="151" t="s">
        <v>363</v>
      </c>
      <c r="C153" s="158">
        <v>410000</v>
      </c>
      <c r="D153" s="142">
        <v>110000</v>
      </c>
      <c r="E153" s="142">
        <v>0</v>
      </c>
      <c r="F153" s="143">
        <v>300000</v>
      </c>
      <c r="H153" s="141">
        <f t="shared" si="7"/>
        <v>2509.085</v>
      </c>
      <c r="I153" s="142">
        <f t="shared" si="7"/>
        <v>1359.085</v>
      </c>
      <c r="J153" s="142">
        <f t="shared" si="7"/>
        <v>0</v>
      </c>
      <c r="K153" s="143">
        <f t="shared" si="6"/>
        <v>1150</v>
      </c>
      <c r="L153" s="129">
        <f t="shared" si="9"/>
        <v>0</v>
      </c>
      <c r="M153" s="129">
        <f t="shared" si="8"/>
        <v>0</v>
      </c>
    </row>
    <row r="154" spans="1:13">
      <c r="A154" s="150" t="s">
        <v>364</v>
      </c>
      <c r="B154" s="151" t="s">
        <v>365</v>
      </c>
      <c r="C154" s="158">
        <v>2099085</v>
      </c>
      <c r="D154" s="142">
        <v>1249085</v>
      </c>
      <c r="E154" s="142">
        <v>0</v>
      </c>
      <c r="F154" s="143">
        <v>850000</v>
      </c>
      <c r="H154" s="158">
        <f t="shared" si="7"/>
        <v>410</v>
      </c>
      <c r="I154" s="158">
        <f t="shared" si="7"/>
        <v>110</v>
      </c>
      <c r="J154" s="158">
        <f t="shared" si="7"/>
        <v>0</v>
      </c>
      <c r="K154" s="164">
        <f t="shared" si="7"/>
        <v>300</v>
      </c>
      <c r="L154" s="129">
        <f t="shared" si="9"/>
        <v>0</v>
      </c>
      <c r="M154" s="129">
        <f t="shared" si="8"/>
        <v>0</v>
      </c>
    </row>
    <row r="155" spans="1:13" ht="12.75" customHeight="1">
      <c r="A155" s="159"/>
      <c r="B155" s="160"/>
      <c r="C155" s="141"/>
      <c r="D155" s="142"/>
      <c r="E155" s="142"/>
      <c r="F155" s="143"/>
      <c r="H155" s="158">
        <f t="shared" ref="H155:K218" si="10">+C154/1000</f>
        <v>2099.085</v>
      </c>
      <c r="I155" s="142">
        <f t="shared" si="10"/>
        <v>1249.085</v>
      </c>
      <c r="J155" s="142">
        <f t="shared" si="10"/>
        <v>0</v>
      </c>
      <c r="K155" s="143">
        <f t="shared" si="10"/>
        <v>850</v>
      </c>
      <c r="L155" s="129">
        <f t="shared" si="9"/>
        <v>0</v>
      </c>
      <c r="M155" s="129">
        <f t="shared" si="8"/>
        <v>0</v>
      </c>
    </row>
    <row r="156" spans="1:13" ht="12.75" hidden="1" customHeight="1">
      <c r="A156" s="153">
        <v>2.0499999999999998</v>
      </c>
      <c r="B156" s="154" t="s">
        <v>366</v>
      </c>
      <c r="C156" s="158">
        <v>0</v>
      </c>
      <c r="D156" s="158">
        <v>0</v>
      </c>
      <c r="E156" s="158">
        <v>0</v>
      </c>
      <c r="F156" s="164">
        <v>0</v>
      </c>
      <c r="H156" s="158">
        <f t="shared" si="10"/>
        <v>0</v>
      </c>
      <c r="I156" s="142">
        <f t="shared" si="10"/>
        <v>0</v>
      </c>
      <c r="J156" s="142">
        <f t="shared" si="10"/>
        <v>0</v>
      </c>
      <c r="K156" s="143">
        <f t="shared" si="10"/>
        <v>0</v>
      </c>
      <c r="L156" s="129">
        <f t="shared" si="9"/>
        <v>0</v>
      </c>
      <c r="M156" s="129">
        <f t="shared" si="8"/>
        <v>0</v>
      </c>
    </row>
    <row r="157" spans="1:13" ht="12.75" hidden="1" customHeight="1">
      <c r="A157" s="159" t="s">
        <v>367</v>
      </c>
      <c r="B157" s="160" t="s">
        <v>368</v>
      </c>
      <c r="C157" s="158">
        <v>0</v>
      </c>
      <c r="D157" s="142">
        <v>0</v>
      </c>
      <c r="E157" s="142">
        <v>0</v>
      </c>
      <c r="F157" s="143">
        <v>0</v>
      </c>
      <c r="H157" s="158">
        <f t="shared" si="10"/>
        <v>0</v>
      </c>
      <c r="I157" s="142">
        <f t="shared" si="10"/>
        <v>0</v>
      </c>
      <c r="J157" s="142">
        <f t="shared" si="10"/>
        <v>0</v>
      </c>
      <c r="K157" s="143">
        <f t="shared" si="10"/>
        <v>0</v>
      </c>
      <c r="L157" s="129">
        <f t="shared" si="9"/>
        <v>0</v>
      </c>
      <c r="M157" s="129">
        <f t="shared" si="8"/>
        <v>0</v>
      </c>
    </row>
    <row r="158" spans="1:13" ht="12.75" hidden="1" customHeight="1">
      <c r="A158" s="159" t="s">
        <v>369</v>
      </c>
      <c r="B158" s="160" t="s">
        <v>370</v>
      </c>
      <c r="C158" s="158">
        <v>0</v>
      </c>
      <c r="D158" s="142">
        <v>0</v>
      </c>
      <c r="E158" s="142">
        <v>0</v>
      </c>
      <c r="F158" s="143">
        <v>0</v>
      </c>
      <c r="H158" s="158">
        <f t="shared" si="10"/>
        <v>0</v>
      </c>
      <c r="I158" s="142">
        <f t="shared" si="10"/>
        <v>0</v>
      </c>
      <c r="J158" s="142">
        <f t="shared" si="10"/>
        <v>0</v>
      </c>
      <c r="K158" s="143">
        <f t="shared" si="10"/>
        <v>0</v>
      </c>
      <c r="L158" s="129">
        <f t="shared" si="9"/>
        <v>0</v>
      </c>
      <c r="M158" s="129">
        <f t="shared" si="8"/>
        <v>0</v>
      </c>
    </row>
    <row r="159" spans="1:13" ht="12.75" hidden="1" customHeight="1">
      <c r="A159" s="159" t="s">
        <v>371</v>
      </c>
      <c r="B159" s="160" t="s">
        <v>372</v>
      </c>
      <c r="C159" s="158">
        <v>0</v>
      </c>
      <c r="D159" s="142">
        <v>0</v>
      </c>
      <c r="E159" s="142">
        <v>0</v>
      </c>
      <c r="F159" s="143">
        <v>0</v>
      </c>
      <c r="H159" s="141">
        <f t="shared" si="10"/>
        <v>0</v>
      </c>
      <c r="I159" s="142">
        <f t="shared" si="10"/>
        <v>0</v>
      </c>
      <c r="J159" s="142">
        <f t="shared" si="10"/>
        <v>0</v>
      </c>
      <c r="K159" s="143">
        <f t="shared" si="10"/>
        <v>0</v>
      </c>
      <c r="L159" s="129">
        <f t="shared" si="9"/>
        <v>0</v>
      </c>
      <c r="M159" s="129">
        <f t="shared" si="8"/>
        <v>0</v>
      </c>
    </row>
    <row r="160" spans="1:13" ht="12.75" hidden="1" customHeight="1">
      <c r="A160" s="159" t="s">
        <v>373</v>
      </c>
      <c r="B160" s="160" t="s">
        <v>374</v>
      </c>
      <c r="C160" s="158">
        <v>0</v>
      </c>
      <c r="D160" s="142">
        <v>0</v>
      </c>
      <c r="E160" s="142">
        <v>0</v>
      </c>
      <c r="F160" s="143">
        <v>0</v>
      </c>
      <c r="H160" s="148">
        <f t="shared" si="10"/>
        <v>0</v>
      </c>
      <c r="I160" s="148">
        <f t="shared" si="10"/>
        <v>0</v>
      </c>
      <c r="J160" s="148">
        <f t="shared" si="10"/>
        <v>0</v>
      </c>
      <c r="K160" s="149">
        <f t="shared" si="10"/>
        <v>0</v>
      </c>
      <c r="L160" s="129">
        <f t="shared" si="9"/>
        <v>0</v>
      </c>
      <c r="M160" s="129">
        <f t="shared" si="8"/>
        <v>0</v>
      </c>
    </row>
    <row r="161" spans="1:13" ht="12.75" hidden="1" customHeight="1">
      <c r="A161" s="150"/>
      <c r="B161" s="151"/>
      <c r="C161" s="141"/>
      <c r="D161" s="142"/>
      <c r="E161" s="142"/>
      <c r="F161" s="143"/>
      <c r="H161" s="158">
        <f t="shared" si="10"/>
        <v>0</v>
      </c>
      <c r="I161" s="142">
        <f t="shared" si="10"/>
        <v>0</v>
      </c>
      <c r="J161" s="142">
        <f t="shared" si="10"/>
        <v>0</v>
      </c>
      <c r="K161" s="143">
        <f t="shared" si="10"/>
        <v>0</v>
      </c>
      <c r="L161" s="129">
        <f t="shared" si="9"/>
        <v>0</v>
      </c>
      <c r="M161" s="129">
        <f t="shared" si="8"/>
        <v>0</v>
      </c>
    </row>
    <row r="162" spans="1:13" s="155" customFormat="1" ht="12.75" customHeight="1">
      <c r="A162" s="153" t="s">
        <v>375</v>
      </c>
      <c r="B162" s="154" t="s">
        <v>376</v>
      </c>
      <c r="C162" s="148">
        <v>13482108</v>
      </c>
      <c r="D162" s="148">
        <v>8323108</v>
      </c>
      <c r="E162" s="148">
        <v>646000</v>
      </c>
      <c r="F162" s="149">
        <v>4513000</v>
      </c>
      <c r="H162" s="158">
        <f t="shared" si="10"/>
        <v>0</v>
      </c>
      <c r="I162" s="142">
        <f t="shared" si="10"/>
        <v>0</v>
      </c>
      <c r="J162" s="142">
        <f t="shared" si="10"/>
        <v>0</v>
      </c>
      <c r="K162" s="143">
        <f t="shared" si="10"/>
        <v>0</v>
      </c>
      <c r="L162" s="156">
        <f t="shared" si="9"/>
        <v>0</v>
      </c>
      <c r="M162" s="156">
        <f t="shared" si="8"/>
        <v>0</v>
      </c>
    </row>
    <row r="163" spans="1:13">
      <c r="A163" s="150" t="s">
        <v>377</v>
      </c>
      <c r="B163" s="151" t="s">
        <v>378</v>
      </c>
      <c r="C163" s="158">
        <v>2506000</v>
      </c>
      <c r="D163" s="142">
        <v>1840000</v>
      </c>
      <c r="E163" s="142">
        <v>126000</v>
      </c>
      <c r="F163" s="143">
        <v>540000</v>
      </c>
      <c r="G163" s="132"/>
      <c r="H163" s="158">
        <f t="shared" si="10"/>
        <v>13482.108</v>
      </c>
      <c r="I163" s="142">
        <f t="shared" si="10"/>
        <v>8323.1080000000002</v>
      </c>
      <c r="J163" s="142">
        <f t="shared" si="10"/>
        <v>646</v>
      </c>
      <c r="K163" s="143">
        <f t="shared" si="10"/>
        <v>4513</v>
      </c>
      <c r="L163" s="129">
        <f t="shared" si="9"/>
        <v>0</v>
      </c>
      <c r="M163" s="129">
        <f t="shared" si="8"/>
        <v>0</v>
      </c>
    </row>
    <row r="164" spans="1:13" ht="25.5">
      <c r="A164" s="150" t="s">
        <v>379</v>
      </c>
      <c r="B164" s="151" t="s">
        <v>380</v>
      </c>
      <c r="C164" s="158">
        <v>733000</v>
      </c>
      <c r="D164" s="142">
        <v>83000</v>
      </c>
      <c r="E164" s="142">
        <v>0</v>
      </c>
      <c r="F164" s="143">
        <v>650000</v>
      </c>
      <c r="H164" s="158">
        <f t="shared" si="10"/>
        <v>2506</v>
      </c>
      <c r="I164" s="142">
        <f t="shared" si="10"/>
        <v>1840</v>
      </c>
      <c r="J164" s="142">
        <f t="shared" si="10"/>
        <v>126</v>
      </c>
      <c r="K164" s="143">
        <f t="shared" si="10"/>
        <v>540</v>
      </c>
      <c r="L164" s="129">
        <f t="shared" si="9"/>
        <v>0</v>
      </c>
      <c r="M164" s="129">
        <f t="shared" si="8"/>
        <v>0</v>
      </c>
    </row>
    <row r="165" spans="1:13">
      <c r="A165" s="150" t="s">
        <v>381</v>
      </c>
      <c r="B165" s="151" t="s">
        <v>382</v>
      </c>
      <c r="C165" s="158">
        <v>6843108</v>
      </c>
      <c r="D165" s="142">
        <v>5040108</v>
      </c>
      <c r="E165" s="142">
        <v>320000</v>
      </c>
      <c r="F165" s="143">
        <v>1483000</v>
      </c>
      <c r="H165" s="158">
        <f t="shared" si="10"/>
        <v>733</v>
      </c>
      <c r="I165" s="142">
        <f t="shared" si="10"/>
        <v>83</v>
      </c>
      <c r="J165" s="142">
        <f t="shared" si="10"/>
        <v>0</v>
      </c>
      <c r="K165" s="143">
        <f t="shared" si="10"/>
        <v>650</v>
      </c>
      <c r="L165" s="129">
        <f t="shared" si="9"/>
        <v>0</v>
      </c>
      <c r="M165" s="129">
        <f t="shared" si="8"/>
        <v>0</v>
      </c>
    </row>
    <row r="166" spans="1:13">
      <c r="A166" s="150" t="s">
        <v>383</v>
      </c>
      <c r="B166" s="151" t="s">
        <v>384</v>
      </c>
      <c r="C166" s="158">
        <v>1960000</v>
      </c>
      <c r="D166" s="142">
        <v>1310000</v>
      </c>
      <c r="E166" s="142">
        <v>50000</v>
      </c>
      <c r="F166" s="143">
        <v>600000</v>
      </c>
      <c r="H166" s="158">
        <f t="shared" si="10"/>
        <v>6843.1080000000002</v>
      </c>
      <c r="I166" s="142">
        <f t="shared" si="10"/>
        <v>5040.1080000000002</v>
      </c>
      <c r="J166" s="142">
        <f t="shared" si="10"/>
        <v>320</v>
      </c>
      <c r="K166" s="143">
        <f t="shared" si="10"/>
        <v>1483</v>
      </c>
      <c r="L166" s="129">
        <f t="shared" si="9"/>
        <v>0</v>
      </c>
      <c r="M166" s="129">
        <f t="shared" si="8"/>
        <v>0</v>
      </c>
    </row>
    <row r="167" spans="1:13">
      <c r="A167" s="150" t="s">
        <v>385</v>
      </c>
      <c r="B167" s="151" t="s">
        <v>386</v>
      </c>
      <c r="C167" s="158">
        <v>375000</v>
      </c>
      <c r="D167" s="142">
        <v>50000</v>
      </c>
      <c r="E167" s="142">
        <v>0</v>
      </c>
      <c r="F167" s="143">
        <v>325000</v>
      </c>
      <c r="H167" s="158">
        <f t="shared" si="10"/>
        <v>1960</v>
      </c>
      <c r="I167" s="142">
        <f t="shared" si="10"/>
        <v>1310</v>
      </c>
      <c r="J167" s="142">
        <f t="shared" si="10"/>
        <v>50</v>
      </c>
      <c r="K167" s="143">
        <f t="shared" si="10"/>
        <v>600</v>
      </c>
      <c r="L167" s="129">
        <f t="shared" si="9"/>
        <v>0</v>
      </c>
      <c r="M167" s="129">
        <f t="shared" si="8"/>
        <v>0</v>
      </c>
    </row>
    <row r="168" spans="1:13">
      <c r="A168" s="150" t="s">
        <v>387</v>
      </c>
      <c r="B168" s="151" t="s">
        <v>388</v>
      </c>
      <c r="C168" s="158">
        <v>650000</v>
      </c>
      <c r="D168" s="142">
        <v>0</v>
      </c>
      <c r="E168" s="142">
        <v>0</v>
      </c>
      <c r="F168" s="143">
        <v>650000</v>
      </c>
      <c r="H168" s="158">
        <f t="shared" si="10"/>
        <v>375</v>
      </c>
      <c r="I168" s="142">
        <f t="shared" si="10"/>
        <v>50</v>
      </c>
      <c r="J168" s="142">
        <f t="shared" si="10"/>
        <v>0</v>
      </c>
      <c r="K168" s="143">
        <f t="shared" si="10"/>
        <v>325</v>
      </c>
      <c r="L168" s="129">
        <f t="shared" si="9"/>
        <v>0</v>
      </c>
      <c r="M168" s="129">
        <f t="shared" si="8"/>
        <v>0</v>
      </c>
    </row>
    <row r="169" spans="1:13">
      <c r="A169" s="150" t="s">
        <v>389</v>
      </c>
      <c r="B169" s="151" t="s">
        <v>390</v>
      </c>
      <c r="C169" s="158">
        <v>20000</v>
      </c>
      <c r="D169" s="142">
        <v>0</v>
      </c>
      <c r="E169" s="142">
        <v>0</v>
      </c>
      <c r="F169" s="143">
        <v>20000</v>
      </c>
      <c r="H169" s="141">
        <f t="shared" si="10"/>
        <v>650</v>
      </c>
      <c r="I169" s="142">
        <f t="shared" si="10"/>
        <v>0</v>
      </c>
      <c r="J169" s="142">
        <f t="shared" si="10"/>
        <v>0</v>
      </c>
      <c r="K169" s="143">
        <f t="shared" si="10"/>
        <v>650</v>
      </c>
      <c r="L169" s="129">
        <f t="shared" si="9"/>
        <v>0</v>
      </c>
      <c r="M169" s="129">
        <f t="shared" si="8"/>
        <v>0</v>
      </c>
    </row>
    <row r="170" spans="1:13">
      <c r="A170" s="150" t="s">
        <v>391</v>
      </c>
      <c r="B170" s="151" t="s">
        <v>392</v>
      </c>
      <c r="C170" s="158">
        <v>395000</v>
      </c>
      <c r="D170" s="142">
        <v>0</v>
      </c>
      <c r="E170" s="142">
        <v>150000</v>
      </c>
      <c r="F170" s="143">
        <v>245000</v>
      </c>
      <c r="H170" s="148">
        <f t="shared" si="10"/>
        <v>20</v>
      </c>
      <c r="I170" s="148">
        <f t="shared" si="10"/>
        <v>0</v>
      </c>
      <c r="J170" s="148">
        <f t="shared" si="10"/>
        <v>0</v>
      </c>
      <c r="K170" s="149">
        <f t="shared" si="10"/>
        <v>20</v>
      </c>
      <c r="L170" s="129">
        <f t="shared" si="9"/>
        <v>0</v>
      </c>
      <c r="M170" s="129">
        <f t="shared" si="8"/>
        <v>0</v>
      </c>
    </row>
    <row r="171" spans="1:13">
      <c r="A171" s="150"/>
      <c r="B171" s="151"/>
      <c r="C171" s="141"/>
      <c r="D171" s="142"/>
      <c r="E171" s="142"/>
      <c r="F171" s="143"/>
      <c r="H171" s="141">
        <f t="shared" si="10"/>
        <v>395</v>
      </c>
      <c r="I171" s="142">
        <f t="shared" si="10"/>
        <v>0</v>
      </c>
      <c r="J171" s="142">
        <f t="shared" si="10"/>
        <v>150</v>
      </c>
      <c r="K171" s="143">
        <f t="shared" si="10"/>
        <v>245</v>
      </c>
      <c r="L171" s="129">
        <f t="shared" si="9"/>
        <v>0</v>
      </c>
      <c r="M171" s="129">
        <f t="shared" si="8"/>
        <v>0</v>
      </c>
    </row>
    <row r="172" spans="1:13" s="155" customFormat="1">
      <c r="A172" s="153">
        <v>5</v>
      </c>
      <c r="B172" s="154" t="s">
        <v>393</v>
      </c>
      <c r="C172" s="148">
        <v>339947400</v>
      </c>
      <c r="D172" s="148">
        <v>174555900</v>
      </c>
      <c r="E172" s="148">
        <v>136697500</v>
      </c>
      <c r="F172" s="149">
        <v>28694000</v>
      </c>
      <c r="H172" s="148">
        <f t="shared" si="10"/>
        <v>0</v>
      </c>
      <c r="I172" s="148">
        <f t="shared" si="10"/>
        <v>0</v>
      </c>
      <c r="J172" s="148">
        <f t="shared" si="10"/>
        <v>0</v>
      </c>
      <c r="K172" s="149">
        <f t="shared" si="10"/>
        <v>0</v>
      </c>
      <c r="L172" s="156">
        <f t="shared" si="9"/>
        <v>0</v>
      </c>
      <c r="M172" s="156">
        <f t="shared" si="8"/>
        <v>0</v>
      </c>
    </row>
    <row r="173" spans="1:13">
      <c r="A173" s="150"/>
      <c r="B173" s="151"/>
      <c r="C173" s="141"/>
      <c r="D173" s="142"/>
      <c r="E173" s="142"/>
      <c r="F173" s="143"/>
      <c r="H173" s="158">
        <f t="shared" si="10"/>
        <v>339947.4</v>
      </c>
      <c r="I173" s="142">
        <f t="shared" si="10"/>
        <v>174555.9</v>
      </c>
      <c r="J173" s="142">
        <f t="shared" si="10"/>
        <v>136697.5</v>
      </c>
      <c r="K173" s="143">
        <f t="shared" si="10"/>
        <v>28694</v>
      </c>
      <c r="L173" s="129">
        <f t="shared" si="9"/>
        <v>0</v>
      </c>
      <c r="M173" s="129">
        <f t="shared" si="8"/>
        <v>0</v>
      </c>
    </row>
    <row r="174" spans="1:13" s="155" customFormat="1">
      <c r="A174" s="153" t="s">
        <v>394</v>
      </c>
      <c r="B174" s="154" t="s">
        <v>395</v>
      </c>
      <c r="C174" s="148">
        <v>316447400</v>
      </c>
      <c r="D174" s="148">
        <v>174555900</v>
      </c>
      <c r="E174" s="148">
        <v>136697500</v>
      </c>
      <c r="F174" s="149">
        <v>5194000</v>
      </c>
      <c r="H174" s="158">
        <f t="shared" si="10"/>
        <v>0</v>
      </c>
      <c r="I174" s="142">
        <f t="shared" si="10"/>
        <v>0</v>
      </c>
      <c r="J174" s="142">
        <f t="shared" si="10"/>
        <v>0</v>
      </c>
      <c r="K174" s="143">
        <f t="shared" si="10"/>
        <v>0</v>
      </c>
      <c r="L174" s="156">
        <f t="shared" si="9"/>
        <v>0</v>
      </c>
      <c r="M174" s="156">
        <f t="shared" si="8"/>
        <v>0</v>
      </c>
    </row>
    <row r="175" spans="1:13" ht="12.75" customHeight="1">
      <c r="A175" s="159" t="s">
        <v>396</v>
      </c>
      <c r="B175" s="160" t="s">
        <v>397</v>
      </c>
      <c r="C175" s="158">
        <v>400000</v>
      </c>
      <c r="D175" s="142">
        <v>400000</v>
      </c>
      <c r="E175" s="142">
        <v>0</v>
      </c>
      <c r="F175" s="143">
        <v>0</v>
      </c>
      <c r="H175" s="158">
        <f t="shared" si="10"/>
        <v>316447.40000000002</v>
      </c>
      <c r="I175" s="142">
        <f t="shared" si="10"/>
        <v>174555.9</v>
      </c>
      <c r="J175" s="142">
        <f t="shared" si="10"/>
        <v>136697.5</v>
      </c>
      <c r="K175" s="143">
        <f t="shared" si="10"/>
        <v>5194</v>
      </c>
      <c r="L175" s="129">
        <f t="shared" si="9"/>
        <v>0</v>
      </c>
      <c r="M175" s="129">
        <f t="shared" si="8"/>
        <v>0</v>
      </c>
    </row>
    <row r="176" spans="1:13" ht="12.75" customHeight="1">
      <c r="A176" s="159" t="s">
        <v>398</v>
      </c>
      <c r="B176" s="160" t="s">
        <v>399</v>
      </c>
      <c r="C176" s="158">
        <v>1348600</v>
      </c>
      <c r="D176" s="142">
        <v>1000000</v>
      </c>
      <c r="E176" s="142">
        <v>348600</v>
      </c>
      <c r="F176" s="143">
        <v>0</v>
      </c>
      <c r="H176" s="158">
        <f t="shared" si="10"/>
        <v>400</v>
      </c>
      <c r="I176" s="142">
        <f t="shared" si="10"/>
        <v>400</v>
      </c>
      <c r="J176" s="142">
        <f t="shared" si="10"/>
        <v>0</v>
      </c>
      <c r="K176" s="143">
        <f t="shared" si="10"/>
        <v>0</v>
      </c>
      <c r="L176" s="129">
        <f t="shared" si="9"/>
        <v>0</v>
      </c>
      <c r="M176" s="129">
        <f t="shared" si="8"/>
        <v>0</v>
      </c>
    </row>
    <row r="177" spans="1:13">
      <c r="A177" s="150" t="s">
        <v>400</v>
      </c>
      <c r="B177" s="151" t="s">
        <v>401</v>
      </c>
      <c r="C177" s="158">
        <v>1920000</v>
      </c>
      <c r="D177" s="142">
        <v>1000000</v>
      </c>
      <c r="E177" s="142">
        <v>0</v>
      </c>
      <c r="F177" s="143">
        <v>920000</v>
      </c>
      <c r="G177" s="132"/>
      <c r="H177" s="158">
        <f t="shared" si="10"/>
        <v>1348.6</v>
      </c>
      <c r="I177" s="142">
        <f t="shared" si="10"/>
        <v>1000</v>
      </c>
      <c r="J177" s="142">
        <f t="shared" si="10"/>
        <v>348.6</v>
      </c>
      <c r="K177" s="143">
        <f t="shared" si="10"/>
        <v>0</v>
      </c>
      <c r="L177" s="129">
        <f t="shared" si="9"/>
        <v>0</v>
      </c>
      <c r="M177" s="129">
        <f t="shared" si="8"/>
        <v>0</v>
      </c>
    </row>
    <row r="178" spans="1:13" ht="17.25" customHeight="1">
      <c r="A178" s="150" t="s">
        <v>402</v>
      </c>
      <c r="B178" s="151" t="s">
        <v>403</v>
      </c>
      <c r="C178" s="158">
        <v>302771800</v>
      </c>
      <c r="D178" s="142">
        <v>168010900</v>
      </c>
      <c r="E178" s="142">
        <v>134460900</v>
      </c>
      <c r="F178" s="143">
        <v>300000</v>
      </c>
      <c r="H178" s="158">
        <f t="shared" si="10"/>
        <v>1920</v>
      </c>
      <c r="I178" s="142">
        <f t="shared" si="10"/>
        <v>1000</v>
      </c>
      <c r="J178" s="142">
        <f t="shared" si="10"/>
        <v>0</v>
      </c>
      <c r="K178" s="143">
        <f t="shared" si="10"/>
        <v>920</v>
      </c>
      <c r="L178" s="129">
        <f>SUM(I179:K179)-H179</f>
        <v>0</v>
      </c>
      <c r="M178" s="129">
        <f t="shared" si="8"/>
        <v>0</v>
      </c>
    </row>
    <row r="179" spans="1:13" ht="16.5" customHeight="1">
      <c r="A179" s="150" t="s">
        <v>404</v>
      </c>
      <c r="B179" s="151" t="s">
        <v>405</v>
      </c>
      <c r="C179" s="158">
        <v>8807000</v>
      </c>
      <c r="D179" s="142">
        <v>4145000</v>
      </c>
      <c r="E179" s="142">
        <v>1888000</v>
      </c>
      <c r="F179" s="143">
        <v>2774000</v>
      </c>
      <c r="G179" s="132"/>
      <c r="H179" s="158">
        <f t="shared" si="10"/>
        <v>302771.8</v>
      </c>
      <c r="I179" s="142">
        <f t="shared" si="10"/>
        <v>168010.9</v>
      </c>
      <c r="J179" s="142">
        <f t="shared" si="10"/>
        <v>134460.9</v>
      </c>
      <c r="K179" s="143">
        <f t="shared" si="10"/>
        <v>300</v>
      </c>
      <c r="L179" s="129">
        <f t="shared" si="9"/>
        <v>0</v>
      </c>
      <c r="M179" s="129">
        <f t="shared" si="8"/>
        <v>0</v>
      </c>
    </row>
    <row r="180" spans="1:13" ht="12.75" customHeight="1">
      <c r="A180" s="159" t="s">
        <v>406</v>
      </c>
      <c r="B180" s="160" t="s">
        <v>407</v>
      </c>
      <c r="C180" s="158">
        <v>1200000</v>
      </c>
      <c r="D180" s="142">
        <v>0</v>
      </c>
      <c r="E180" s="142">
        <v>0</v>
      </c>
      <c r="F180" s="143">
        <v>1200000</v>
      </c>
      <c r="H180" s="158">
        <f t="shared" si="10"/>
        <v>8807</v>
      </c>
      <c r="I180" s="142">
        <f t="shared" si="10"/>
        <v>4145</v>
      </c>
      <c r="J180" s="142">
        <f t="shared" si="10"/>
        <v>1888</v>
      </c>
      <c r="K180" s="143">
        <f t="shared" si="10"/>
        <v>2774</v>
      </c>
      <c r="L180" s="129">
        <f t="shared" si="9"/>
        <v>0</v>
      </c>
      <c r="M180" s="129">
        <f t="shared" si="8"/>
        <v>0</v>
      </c>
    </row>
    <row r="181" spans="1:13" ht="13.5" hidden="1" customHeight="1">
      <c r="A181" s="150" t="s">
        <v>408</v>
      </c>
      <c r="B181" s="151" t="s">
        <v>409</v>
      </c>
      <c r="C181" s="158">
        <v>0</v>
      </c>
      <c r="D181" s="142">
        <v>0</v>
      </c>
      <c r="E181" s="142">
        <v>0</v>
      </c>
      <c r="F181" s="143">
        <v>0</v>
      </c>
      <c r="H181" s="141">
        <f t="shared" si="10"/>
        <v>1200</v>
      </c>
      <c r="I181" s="142">
        <f t="shared" si="10"/>
        <v>0</v>
      </c>
      <c r="J181" s="142">
        <f t="shared" si="10"/>
        <v>0</v>
      </c>
      <c r="K181" s="143">
        <f t="shared" si="10"/>
        <v>1200</v>
      </c>
      <c r="L181" s="129">
        <f t="shared" si="9"/>
        <v>0</v>
      </c>
      <c r="M181" s="129">
        <f t="shared" si="8"/>
        <v>0</v>
      </c>
    </row>
    <row r="182" spans="1:13" ht="12.75" hidden="1" customHeight="1">
      <c r="A182" s="150" t="s">
        <v>410</v>
      </c>
      <c r="B182" s="151" t="s">
        <v>411</v>
      </c>
      <c r="C182" s="158">
        <v>0</v>
      </c>
      <c r="D182" s="142">
        <v>0</v>
      </c>
      <c r="E182" s="142">
        <v>0</v>
      </c>
      <c r="F182" s="143">
        <v>0</v>
      </c>
      <c r="H182" s="148">
        <f t="shared" si="10"/>
        <v>0</v>
      </c>
      <c r="I182" s="148">
        <f t="shared" si="10"/>
        <v>0</v>
      </c>
      <c r="J182" s="148">
        <f t="shared" si="10"/>
        <v>0</v>
      </c>
      <c r="K182" s="149">
        <f t="shared" si="10"/>
        <v>0</v>
      </c>
      <c r="L182" s="129">
        <f t="shared" si="9"/>
        <v>0</v>
      </c>
      <c r="M182" s="129">
        <f t="shared" si="8"/>
        <v>0</v>
      </c>
    </row>
    <row r="183" spans="1:13" ht="12.75" hidden="1" customHeight="1">
      <c r="A183" s="150"/>
      <c r="B183" s="151"/>
      <c r="C183" s="141"/>
      <c r="D183" s="142"/>
      <c r="E183" s="142"/>
      <c r="F183" s="143"/>
      <c r="H183" s="158">
        <f t="shared" si="10"/>
        <v>0</v>
      </c>
      <c r="I183" s="142">
        <f t="shared" si="10"/>
        <v>0</v>
      </c>
      <c r="J183" s="142">
        <f t="shared" si="10"/>
        <v>0</v>
      </c>
      <c r="K183" s="143">
        <f t="shared" si="10"/>
        <v>0</v>
      </c>
      <c r="L183" s="129">
        <f t="shared" si="9"/>
        <v>0</v>
      </c>
      <c r="M183" s="129">
        <f t="shared" si="8"/>
        <v>0</v>
      </c>
    </row>
    <row r="184" spans="1:13" s="155" customFormat="1" ht="12.75" hidden="1" customHeight="1">
      <c r="A184" s="153">
        <v>5.0199999999999996</v>
      </c>
      <c r="B184" s="154" t="s">
        <v>412</v>
      </c>
      <c r="C184" s="148">
        <v>0</v>
      </c>
      <c r="D184" s="148">
        <v>0</v>
      </c>
      <c r="E184" s="148">
        <v>0</v>
      </c>
      <c r="F184" s="149">
        <v>0</v>
      </c>
      <c r="H184" s="158">
        <f t="shared" si="10"/>
        <v>0</v>
      </c>
      <c r="I184" s="142">
        <f t="shared" si="10"/>
        <v>0</v>
      </c>
      <c r="J184" s="142">
        <f t="shared" si="10"/>
        <v>0</v>
      </c>
      <c r="K184" s="143">
        <f t="shared" si="10"/>
        <v>0</v>
      </c>
      <c r="L184" s="156">
        <f t="shared" si="9"/>
        <v>0</v>
      </c>
      <c r="M184" s="156">
        <f t="shared" si="8"/>
        <v>0</v>
      </c>
    </row>
    <row r="185" spans="1:13" ht="12.75" hidden="1" customHeight="1">
      <c r="A185" s="159" t="s">
        <v>413</v>
      </c>
      <c r="B185" s="160" t="s">
        <v>414</v>
      </c>
      <c r="C185" s="158">
        <v>0</v>
      </c>
      <c r="D185" s="142">
        <v>0</v>
      </c>
      <c r="E185" s="142">
        <v>0</v>
      </c>
      <c r="F185" s="143">
        <v>0</v>
      </c>
      <c r="H185" s="158">
        <f t="shared" si="10"/>
        <v>0</v>
      </c>
      <c r="I185" s="142">
        <f t="shared" si="10"/>
        <v>0</v>
      </c>
      <c r="J185" s="142">
        <f t="shared" si="10"/>
        <v>0</v>
      </c>
      <c r="K185" s="143">
        <f t="shared" si="10"/>
        <v>0</v>
      </c>
      <c r="L185" s="129">
        <f t="shared" si="9"/>
        <v>0</v>
      </c>
      <c r="M185" s="129">
        <f t="shared" si="8"/>
        <v>0</v>
      </c>
    </row>
    <row r="186" spans="1:13" ht="12.75" hidden="1" customHeight="1">
      <c r="A186" s="159" t="s">
        <v>415</v>
      </c>
      <c r="B186" s="160" t="s">
        <v>416</v>
      </c>
      <c r="C186" s="158">
        <v>0</v>
      </c>
      <c r="D186" s="142">
        <v>0</v>
      </c>
      <c r="E186" s="142">
        <v>0</v>
      </c>
      <c r="F186" s="143">
        <v>0</v>
      </c>
      <c r="H186" s="158">
        <f t="shared" si="10"/>
        <v>0</v>
      </c>
      <c r="I186" s="142">
        <f t="shared" si="10"/>
        <v>0</v>
      </c>
      <c r="J186" s="142">
        <f t="shared" si="10"/>
        <v>0</v>
      </c>
      <c r="K186" s="143">
        <f t="shared" si="10"/>
        <v>0</v>
      </c>
      <c r="L186" s="129">
        <f t="shared" si="9"/>
        <v>0</v>
      </c>
      <c r="M186" s="129">
        <f t="shared" si="8"/>
        <v>0</v>
      </c>
    </row>
    <row r="187" spans="1:13" ht="12.75" hidden="1" customHeight="1">
      <c r="A187" s="159" t="s">
        <v>417</v>
      </c>
      <c r="B187" s="160" t="s">
        <v>418</v>
      </c>
      <c r="C187" s="158">
        <v>0</v>
      </c>
      <c r="D187" s="142">
        <v>0</v>
      </c>
      <c r="E187" s="142">
        <v>0</v>
      </c>
      <c r="F187" s="143">
        <v>0</v>
      </c>
      <c r="H187" s="158">
        <f t="shared" si="10"/>
        <v>0</v>
      </c>
      <c r="I187" s="142">
        <f t="shared" si="10"/>
        <v>0</v>
      </c>
      <c r="J187" s="142">
        <f t="shared" si="10"/>
        <v>0</v>
      </c>
      <c r="K187" s="143">
        <f t="shared" si="10"/>
        <v>0</v>
      </c>
      <c r="L187" s="129">
        <f t="shared" si="9"/>
        <v>0</v>
      </c>
      <c r="M187" s="129">
        <f t="shared" si="8"/>
        <v>0</v>
      </c>
    </row>
    <row r="188" spans="1:13" ht="12.75" hidden="1" customHeight="1">
      <c r="A188" s="159" t="s">
        <v>419</v>
      </c>
      <c r="B188" s="160" t="s">
        <v>420</v>
      </c>
      <c r="C188" s="158">
        <v>0</v>
      </c>
      <c r="D188" s="142">
        <v>0</v>
      </c>
      <c r="E188" s="142">
        <v>0</v>
      </c>
      <c r="F188" s="143">
        <v>0</v>
      </c>
      <c r="H188" s="158">
        <f t="shared" si="10"/>
        <v>0</v>
      </c>
      <c r="I188" s="142">
        <f t="shared" si="10"/>
        <v>0</v>
      </c>
      <c r="J188" s="142">
        <f t="shared" si="10"/>
        <v>0</v>
      </c>
      <c r="K188" s="143">
        <f t="shared" si="10"/>
        <v>0</v>
      </c>
      <c r="L188" s="129">
        <f t="shared" si="9"/>
        <v>0</v>
      </c>
      <c r="M188" s="129">
        <f t="shared" si="8"/>
        <v>0</v>
      </c>
    </row>
    <row r="189" spans="1:13" ht="12.75" hidden="1" customHeight="1">
      <c r="A189" s="159" t="s">
        <v>421</v>
      </c>
      <c r="B189" s="160" t="s">
        <v>422</v>
      </c>
      <c r="C189" s="158">
        <v>0</v>
      </c>
      <c r="D189" s="142">
        <v>0</v>
      </c>
      <c r="E189" s="142">
        <v>0</v>
      </c>
      <c r="F189" s="143">
        <v>0</v>
      </c>
      <c r="H189" s="158">
        <f t="shared" si="10"/>
        <v>0</v>
      </c>
      <c r="I189" s="142">
        <f t="shared" si="10"/>
        <v>0</v>
      </c>
      <c r="J189" s="142">
        <f t="shared" si="10"/>
        <v>0</v>
      </c>
      <c r="K189" s="143">
        <f t="shared" si="10"/>
        <v>0</v>
      </c>
      <c r="L189" s="129">
        <f t="shared" si="9"/>
        <v>0</v>
      </c>
      <c r="M189" s="129">
        <f t="shared" si="8"/>
        <v>0</v>
      </c>
    </row>
    <row r="190" spans="1:13" ht="12.75" hidden="1" customHeight="1">
      <c r="A190" s="159" t="s">
        <v>423</v>
      </c>
      <c r="B190" s="160" t="s">
        <v>424</v>
      </c>
      <c r="C190" s="158">
        <v>0</v>
      </c>
      <c r="D190" s="142">
        <v>0</v>
      </c>
      <c r="E190" s="142">
        <v>0</v>
      </c>
      <c r="F190" s="143">
        <v>0</v>
      </c>
      <c r="H190" s="158">
        <f t="shared" si="10"/>
        <v>0</v>
      </c>
      <c r="I190" s="142">
        <f t="shared" si="10"/>
        <v>0</v>
      </c>
      <c r="J190" s="142">
        <f t="shared" si="10"/>
        <v>0</v>
      </c>
      <c r="K190" s="143">
        <f t="shared" si="10"/>
        <v>0</v>
      </c>
      <c r="L190" s="129">
        <f t="shared" si="9"/>
        <v>0</v>
      </c>
      <c r="M190" s="129">
        <f t="shared" si="8"/>
        <v>0</v>
      </c>
    </row>
    <row r="191" spans="1:13" ht="12.75" hidden="1" customHeight="1">
      <c r="A191" s="159" t="s">
        <v>425</v>
      </c>
      <c r="B191" s="160" t="s">
        <v>107</v>
      </c>
      <c r="C191" s="158">
        <v>0</v>
      </c>
      <c r="D191" s="142">
        <v>0</v>
      </c>
      <c r="E191" s="142">
        <v>0</v>
      </c>
      <c r="F191" s="143">
        <v>0</v>
      </c>
      <c r="H191" s="141">
        <f t="shared" si="10"/>
        <v>0</v>
      </c>
      <c r="I191" s="142">
        <f t="shared" si="10"/>
        <v>0</v>
      </c>
      <c r="J191" s="142">
        <f t="shared" si="10"/>
        <v>0</v>
      </c>
      <c r="K191" s="143">
        <f t="shared" si="10"/>
        <v>0</v>
      </c>
      <c r="L191" s="129">
        <f t="shared" si="9"/>
        <v>0</v>
      </c>
      <c r="M191" s="129">
        <f t="shared" si="8"/>
        <v>0</v>
      </c>
    </row>
    <row r="192" spans="1:13" ht="12.75" hidden="1" customHeight="1">
      <c r="A192" s="159" t="s">
        <v>426</v>
      </c>
      <c r="B192" s="160" t="s">
        <v>427</v>
      </c>
      <c r="C192" s="158">
        <v>0</v>
      </c>
      <c r="D192" s="142">
        <v>0</v>
      </c>
      <c r="E192" s="142">
        <v>0</v>
      </c>
      <c r="F192" s="143">
        <v>0</v>
      </c>
      <c r="H192" s="158">
        <f t="shared" si="10"/>
        <v>0</v>
      </c>
      <c r="I192" s="158">
        <f t="shared" si="10"/>
        <v>0</v>
      </c>
      <c r="J192" s="158">
        <f t="shared" si="10"/>
        <v>0</v>
      </c>
      <c r="K192" s="164">
        <f t="shared" si="10"/>
        <v>0</v>
      </c>
      <c r="L192" s="129">
        <f t="shared" si="9"/>
        <v>0</v>
      </c>
      <c r="M192" s="129">
        <f t="shared" si="8"/>
        <v>0</v>
      </c>
    </row>
    <row r="193" spans="1:13" ht="12.75" hidden="1" customHeight="1">
      <c r="A193" s="159"/>
      <c r="B193" s="160"/>
      <c r="C193" s="141"/>
      <c r="D193" s="142"/>
      <c r="E193" s="142"/>
      <c r="F193" s="143"/>
      <c r="H193" s="158">
        <f t="shared" si="10"/>
        <v>0</v>
      </c>
      <c r="I193" s="142">
        <f t="shared" si="10"/>
        <v>0</v>
      </c>
      <c r="J193" s="142">
        <f t="shared" si="10"/>
        <v>0</v>
      </c>
      <c r="K193" s="143">
        <f t="shared" si="10"/>
        <v>0</v>
      </c>
      <c r="L193" s="129">
        <f t="shared" si="9"/>
        <v>0</v>
      </c>
      <c r="M193" s="129">
        <f t="shared" si="8"/>
        <v>0</v>
      </c>
    </row>
    <row r="194" spans="1:13" ht="12.75" hidden="1" customHeight="1">
      <c r="A194" s="153">
        <v>5.03</v>
      </c>
      <c r="B194" s="154" t="s">
        <v>428</v>
      </c>
      <c r="C194" s="158">
        <v>0</v>
      </c>
      <c r="D194" s="158">
        <v>0</v>
      </c>
      <c r="E194" s="158">
        <v>0</v>
      </c>
      <c r="F194" s="164">
        <v>0</v>
      </c>
      <c r="H194" s="158">
        <f t="shared" si="10"/>
        <v>0</v>
      </c>
      <c r="I194" s="142">
        <f t="shared" si="10"/>
        <v>0</v>
      </c>
      <c r="J194" s="142">
        <f t="shared" si="10"/>
        <v>0</v>
      </c>
      <c r="K194" s="143">
        <f t="shared" si="10"/>
        <v>0</v>
      </c>
      <c r="L194" s="129">
        <f t="shared" si="9"/>
        <v>0</v>
      </c>
      <c r="M194" s="129">
        <f t="shared" si="8"/>
        <v>0</v>
      </c>
    </row>
    <row r="195" spans="1:13" ht="12.75" hidden="1" customHeight="1">
      <c r="A195" s="159" t="s">
        <v>429</v>
      </c>
      <c r="B195" s="160" t="s">
        <v>430</v>
      </c>
      <c r="C195" s="158">
        <v>0</v>
      </c>
      <c r="D195" s="142">
        <v>0</v>
      </c>
      <c r="E195" s="142">
        <v>0</v>
      </c>
      <c r="F195" s="143">
        <v>0</v>
      </c>
      <c r="H195" s="158">
        <f t="shared" si="10"/>
        <v>0</v>
      </c>
      <c r="I195" s="142">
        <f t="shared" si="10"/>
        <v>0</v>
      </c>
      <c r="J195" s="142">
        <f t="shared" si="10"/>
        <v>0</v>
      </c>
      <c r="K195" s="143">
        <f t="shared" si="10"/>
        <v>0</v>
      </c>
      <c r="L195" s="129">
        <f t="shared" si="9"/>
        <v>0</v>
      </c>
      <c r="M195" s="129">
        <f t="shared" si="8"/>
        <v>0</v>
      </c>
    </row>
    <row r="196" spans="1:13" ht="12.75" hidden="1" customHeight="1">
      <c r="A196" s="159" t="s">
        <v>431</v>
      </c>
      <c r="B196" s="160" t="s">
        <v>432</v>
      </c>
      <c r="C196" s="158">
        <v>0</v>
      </c>
      <c r="D196" s="142">
        <v>0</v>
      </c>
      <c r="E196" s="142">
        <v>0</v>
      </c>
      <c r="F196" s="143">
        <v>0</v>
      </c>
      <c r="H196" s="141">
        <f t="shared" si="10"/>
        <v>0</v>
      </c>
      <c r="I196" s="142">
        <f t="shared" si="10"/>
        <v>0</v>
      </c>
      <c r="J196" s="142">
        <f t="shared" si="10"/>
        <v>0</v>
      </c>
      <c r="K196" s="143">
        <f t="shared" si="10"/>
        <v>0</v>
      </c>
      <c r="L196" s="129">
        <f t="shared" si="9"/>
        <v>0</v>
      </c>
      <c r="M196" s="129">
        <f t="shared" si="8"/>
        <v>0</v>
      </c>
    </row>
    <row r="197" spans="1:13" ht="12.75" hidden="1" customHeight="1">
      <c r="A197" s="159" t="s">
        <v>433</v>
      </c>
      <c r="B197" s="160" t="s">
        <v>434</v>
      </c>
      <c r="C197" s="158">
        <v>0</v>
      </c>
      <c r="D197" s="142">
        <v>0</v>
      </c>
      <c r="E197" s="142">
        <v>0</v>
      </c>
      <c r="F197" s="143">
        <v>0</v>
      </c>
      <c r="H197" s="148">
        <f t="shared" si="10"/>
        <v>0</v>
      </c>
      <c r="I197" s="148">
        <f t="shared" si="10"/>
        <v>0</v>
      </c>
      <c r="J197" s="148">
        <f t="shared" si="10"/>
        <v>0</v>
      </c>
      <c r="K197" s="149">
        <f t="shared" si="10"/>
        <v>0</v>
      </c>
      <c r="L197" s="129">
        <f t="shared" si="9"/>
        <v>0</v>
      </c>
      <c r="M197" s="129">
        <f t="shared" si="8"/>
        <v>0</v>
      </c>
    </row>
    <row r="198" spans="1:13">
      <c r="A198" s="150"/>
      <c r="B198" s="151"/>
      <c r="C198" s="141"/>
      <c r="D198" s="142"/>
      <c r="E198" s="142"/>
      <c r="F198" s="143"/>
      <c r="H198" s="158">
        <f t="shared" si="10"/>
        <v>0</v>
      </c>
      <c r="I198" s="142">
        <f t="shared" si="10"/>
        <v>0</v>
      </c>
      <c r="J198" s="142">
        <f t="shared" si="10"/>
        <v>0</v>
      </c>
      <c r="K198" s="143">
        <f t="shared" si="10"/>
        <v>0</v>
      </c>
      <c r="L198" s="129">
        <f t="shared" si="9"/>
        <v>0</v>
      </c>
      <c r="M198" s="129">
        <f t="shared" si="8"/>
        <v>0</v>
      </c>
    </row>
    <row r="199" spans="1:13" s="155" customFormat="1">
      <c r="A199" s="153" t="s">
        <v>435</v>
      </c>
      <c r="B199" s="154" t="s">
        <v>436</v>
      </c>
      <c r="C199" s="148">
        <v>23500000</v>
      </c>
      <c r="D199" s="148">
        <v>0</v>
      </c>
      <c r="E199" s="148">
        <v>0</v>
      </c>
      <c r="F199" s="149">
        <v>23500000</v>
      </c>
      <c r="H199" s="158">
        <f t="shared" si="10"/>
        <v>0</v>
      </c>
      <c r="I199" s="142">
        <f t="shared" si="10"/>
        <v>0</v>
      </c>
      <c r="J199" s="142">
        <f t="shared" si="10"/>
        <v>0</v>
      </c>
      <c r="K199" s="143">
        <f t="shared" si="10"/>
        <v>0</v>
      </c>
      <c r="L199" s="156">
        <f t="shared" si="9"/>
        <v>0</v>
      </c>
      <c r="M199" s="156">
        <f t="shared" si="8"/>
        <v>0</v>
      </c>
    </row>
    <row r="200" spans="1:13" ht="12.75" hidden="1" customHeight="1">
      <c r="A200" s="159" t="s">
        <v>437</v>
      </c>
      <c r="B200" s="160" t="s">
        <v>438</v>
      </c>
      <c r="C200" s="158">
        <v>0</v>
      </c>
      <c r="D200" s="142">
        <v>0</v>
      </c>
      <c r="E200" s="142">
        <v>0</v>
      </c>
      <c r="F200" s="143">
        <v>0</v>
      </c>
      <c r="H200" s="158">
        <f t="shared" si="10"/>
        <v>23500</v>
      </c>
      <c r="I200" s="142">
        <f t="shared" si="10"/>
        <v>0</v>
      </c>
      <c r="J200" s="142">
        <f t="shared" si="10"/>
        <v>0</v>
      </c>
      <c r="K200" s="143">
        <f t="shared" si="10"/>
        <v>23500</v>
      </c>
      <c r="L200" s="129">
        <f t="shared" si="9"/>
        <v>0</v>
      </c>
      <c r="M200" s="129">
        <f t="shared" si="8"/>
        <v>0</v>
      </c>
    </row>
    <row r="201" spans="1:13" ht="12.75" hidden="1" customHeight="1">
      <c r="A201" s="150" t="s">
        <v>439</v>
      </c>
      <c r="B201" s="151" t="s">
        <v>440</v>
      </c>
      <c r="C201" s="158">
        <v>0</v>
      </c>
      <c r="D201" s="142">
        <v>0</v>
      </c>
      <c r="E201" s="142">
        <v>0</v>
      </c>
      <c r="F201" s="143">
        <v>0</v>
      </c>
      <c r="H201" s="158">
        <f t="shared" si="10"/>
        <v>0</v>
      </c>
      <c r="I201" s="142">
        <f t="shared" si="10"/>
        <v>0</v>
      </c>
      <c r="J201" s="142">
        <f t="shared" si="10"/>
        <v>0</v>
      </c>
      <c r="K201" s="143">
        <f t="shared" si="10"/>
        <v>0</v>
      </c>
      <c r="L201" s="129">
        <f t="shared" si="9"/>
        <v>0</v>
      </c>
      <c r="M201" s="129">
        <f t="shared" si="8"/>
        <v>0</v>
      </c>
    </row>
    <row r="202" spans="1:13" ht="12.75" customHeight="1">
      <c r="A202" s="159" t="s">
        <v>441</v>
      </c>
      <c r="B202" s="160" t="s">
        <v>442</v>
      </c>
      <c r="C202" s="158">
        <v>23500000</v>
      </c>
      <c r="D202" s="142">
        <v>0</v>
      </c>
      <c r="E202" s="142">
        <v>0</v>
      </c>
      <c r="F202" s="143">
        <v>23500000</v>
      </c>
      <c r="H202" s="141">
        <f t="shared" si="10"/>
        <v>0</v>
      </c>
      <c r="I202" s="142">
        <f t="shared" si="10"/>
        <v>0</v>
      </c>
      <c r="J202" s="142">
        <f t="shared" si="10"/>
        <v>0</v>
      </c>
      <c r="K202" s="143">
        <f t="shared" si="10"/>
        <v>0</v>
      </c>
      <c r="L202" s="129">
        <f t="shared" si="9"/>
        <v>0</v>
      </c>
      <c r="M202" s="129">
        <f t="shared" si="8"/>
        <v>0</v>
      </c>
    </row>
    <row r="203" spans="1:13" ht="12.75" hidden="1" customHeight="1">
      <c r="A203" s="150" t="s">
        <v>443</v>
      </c>
      <c r="B203" s="151" t="s">
        <v>444</v>
      </c>
      <c r="C203" s="158">
        <v>0</v>
      </c>
      <c r="D203" s="142">
        <v>0</v>
      </c>
      <c r="E203" s="142">
        <v>0</v>
      </c>
      <c r="F203" s="143">
        <v>0</v>
      </c>
      <c r="H203" s="148">
        <f t="shared" si="10"/>
        <v>23500</v>
      </c>
      <c r="I203" s="148">
        <f t="shared" si="10"/>
        <v>0</v>
      </c>
      <c r="J203" s="148">
        <f t="shared" si="10"/>
        <v>0</v>
      </c>
      <c r="K203" s="149">
        <f t="shared" si="10"/>
        <v>23500</v>
      </c>
      <c r="L203" s="129">
        <f t="shared" si="9"/>
        <v>0</v>
      </c>
      <c r="M203" s="129">
        <f t="shared" ref="M203:M257" si="11">+H204-C203/1000</f>
        <v>0</v>
      </c>
    </row>
    <row r="204" spans="1:13">
      <c r="A204" s="150"/>
      <c r="B204" s="151"/>
      <c r="C204" s="141"/>
      <c r="D204" s="142"/>
      <c r="E204" s="142"/>
      <c r="F204" s="143"/>
      <c r="H204" s="141">
        <f t="shared" si="10"/>
        <v>0</v>
      </c>
      <c r="I204" s="142">
        <f t="shared" si="10"/>
        <v>0</v>
      </c>
      <c r="J204" s="142">
        <f t="shared" si="10"/>
        <v>0</v>
      </c>
      <c r="K204" s="143">
        <f t="shared" si="10"/>
        <v>0</v>
      </c>
      <c r="L204" s="129">
        <f t="shared" ref="L204:L257" si="12">SUM(I205:K205)-H205</f>
        <v>0</v>
      </c>
      <c r="M204" s="129">
        <f t="shared" si="11"/>
        <v>0</v>
      </c>
    </row>
    <row r="205" spans="1:13" s="155" customFormat="1">
      <c r="A205" s="153">
        <v>6</v>
      </c>
      <c r="B205" s="154" t="s">
        <v>67</v>
      </c>
      <c r="C205" s="148">
        <v>9598400</v>
      </c>
      <c r="D205" s="148">
        <v>0</v>
      </c>
      <c r="E205" s="148">
        <v>9598400</v>
      </c>
      <c r="F205" s="149">
        <v>0</v>
      </c>
      <c r="H205" s="158">
        <f t="shared" si="10"/>
        <v>0</v>
      </c>
      <c r="I205" s="158">
        <f t="shared" si="10"/>
        <v>0</v>
      </c>
      <c r="J205" s="158">
        <f t="shared" si="10"/>
        <v>0</v>
      </c>
      <c r="K205" s="164">
        <f t="shared" si="10"/>
        <v>0</v>
      </c>
      <c r="L205" s="156">
        <f t="shared" si="12"/>
        <v>0</v>
      </c>
      <c r="M205" s="156">
        <f t="shared" si="11"/>
        <v>0</v>
      </c>
    </row>
    <row r="206" spans="1:13" ht="13.5" customHeight="1">
      <c r="A206" s="150"/>
      <c r="B206" s="151"/>
      <c r="C206" s="141"/>
      <c r="D206" s="142"/>
      <c r="E206" s="142"/>
      <c r="F206" s="143"/>
      <c r="H206" s="158">
        <f t="shared" si="10"/>
        <v>9598.4</v>
      </c>
      <c r="I206" s="142">
        <f t="shared" si="10"/>
        <v>0</v>
      </c>
      <c r="J206" s="142">
        <f t="shared" si="10"/>
        <v>9598.4</v>
      </c>
      <c r="K206" s="143">
        <f t="shared" si="10"/>
        <v>0</v>
      </c>
      <c r="L206" s="129">
        <f t="shared" si="12"/>
        <v>0</v>
      </c>
      <c r="M206" s="129">
        <f t="shared" si="11"/>
        <v>0</v>
      </c>
    </row>
    <row r="207" spans="1:13" s="155" customFormat="1" ht="24" hidden="1" customHeight="1">
      <c r="A207" s="153" t="s">
        <v>445</v>
      </c>
      <c r="B207" s="154" t="s">
        <v>446</v>
      </c>
      <c r="C207" s="158">
        <v>0</v>
      </c>
      <c r="D207" s="158">
        <v>0</v>
      </c>
      <c r="E207" s="158">
        <v>0</v>
      </c>
      <c r="F207" s="164">
        <v>0</v>
      </c>
      <c r="H207" s="158">
        <f t="shared" si="10"/>
        <v>0</v>
      </c>
      <c r="I207" s="142">
        <f t="shared" si="10"/>
        <v>0</v>
      </c>
      <c r="J207" s="142">
        <f t="shared" si="10"/>
        <v>0</v>
      </c>
      <c r="K207" s="143">
        <f t="shared" si="10"/>
        <v>0</v>
      </c>
      <c r="L207" s="156">
        <f t="shared" si="12"/>
        <v>0</v>
      </c>
      <c r="M207" s="156">
        <f t="shared" si="11"/>
        <v>0</v>
      </c>
    </row>
    <row r="208" spans="1:13" ht="12.75" hidden="1" customHeight="1">
      <c r="A208" s="159" t="s">
        <v>447</v>
      </c>
      <c r="B208" s="160" t="s">
        <v>448</v>
      </c>
      <c r="C208" s="158">
        <v>0</v>
      </c>
      <c r="D208" s="142">
        <v>0</v>
      </c>
      <c r="E208" s="142">
        <v>0</v>
      </c>
      <c r="F208" s="143">
        <v>0</v>
      </c>
      <c r="H208" s="158">
        <f t="shared" si="10"/>
        <v>0</v>
      </c>
      <c r="I208" s="142">
        <f t="shared" si="10"/>
        <v>0</v>
      </c>
      <c r="J208" s="142">
        <f t="shared" si="10"/>
        <v>0</v>
      </c>
      <c r="K208" s="143">
        <f t="shared" si="10"/>
        <v>0</v>
      </c>
      <c r="L208" s="129">
        <f t="shared" si="12"/>
        <v>0</v>
      </c>
      <c r="M208" s="129">
        <f t="shared" si="11"/>
        <v>0</v>
      </c>
    </row>
    <row r="209" spans="1:13" ht="12.75" hidden="1" customHeight="1">
      <c r="A209" s="150" t="s">
        <v>449</v>
      </c>
      <c r="B209" s="151" t="s">
        <v>450</v>
      </c>
      <c r="C209" s="158">
        <v>0</v>
      </c>
      <c r="D209" s="142">
        <v>0</v>
      </c>
      <c r="E209" s="142">
        <v>0</v>
      </c>
      <c r="F209" s="143">
        <v>0</v>
      </c>
      <c r="H209" s="158">
        <f t="shared" si="10"/>
        <v>0</v>
      </c>
      <c r="I209" s="142">
        <f t="shared" si="10"/>
        <v>0</v>
      </c>
      <c r="J209" s="142">
        <f t="shared" si="10"/>
        <v>0</v>
      </c>
      <c r="K209" s="143">
        <f t="shared" si="10"/>
        <v>0</v>
      </c>
      <c r="L209" s="129">
        <f t="shared" si="12"/>
        <v>0</v>
      </c>
      <c r="M209" s="129">
        <f t="shared" si="11"/>
        <v>0</v>
      </c>
    </row>
    <row r="210" spans="1:13" ht="12.75" hidden="1" customHeight="1">
      <c r="A210" s="150" t="s">
        <v>451</v>
      </c>
      <c r="B210" s="151" t="s">
        <v>452</v>
      </c>
      <c r="C210" s="158">
        <v>0</v>
      </c>
      <c r="D210" s="142">
        <v>0</v>
      </c>
      <c r="E210" s="142">
        <v>0</v>
      </c>
      <c r="F210" s="143">
        <v>0</v>
      </c>
      <c r="H210" s="158">
        <f t="shared" si="10"/>
        <v>0</v>
      </c>
      <c r="I210" s="142">
        <f t="shared" si="10"/>
        <v>0</v>
      </c>
      <c r="J210" s="142">
        <f t="shared" si="10"/>
        <v>0</v>
      </c>
      <c r="K210" s="143">
        <f t="shared" si="10"/>
        <v>0</v>
      </c>
      <c r="L210" s="129">
        <f t="shared" si="12"/>
        <v>0</v>
      </c>
      <c r="M210" s="129">
        <f t="shared" si="11"/>
        <v>0</v>
      </c>
    </row>
    <row r="211" spans="1:13" ht="12.75" hidden="1" customHeight="1">
      <c r="A211" s="159" t="s">
        <v>453</v>
      </c>
      <c r="B211" s="160" t="s">
        <v>454</v>
      </c>
      <c r="C211" s="158">
        <v>0</v>
      </c>
      <c r="D211" s="142">
        <v>0</v>
      </c>
      <c r="E211" s="142">
        <v>0</v>
      </c>
      <c r="F211" s="143">
        <v>0</v>
      </c>
      <c r="H211" s="158">
        <f t="shared" si="10"/>
        <v>0</v>
      </c>
      <c r="I211" s="142">
        <f t="shared" si="10"/>
        <v>0</v>
      </c>
      <c r="J211" s="142">
        <f t="shared" si="10"/>
        <v>0</v>
      </c>
      <c r="K211" s="143">
        <f t="shared" si="10"/>
        <v>0</v>
      </c>
      <c r="L211" s="129">
        <f t="shared" si="12"/>
        <v>0</v>
      </c>
      <c r="M211" s="129">
        <f t="shared" si="11"/>
        <v>0</v>
      </c>
    </row>
    <row r="212" spans="1:13" ht="12.75" hidden="1" customHeight="1">
      <c r="A212" s="159" t="s">
        <v>455</v>
      </c>
      <c r="B212" s="160" t="s">
        <v>456</v>
      </c>
      <c r="C212" s="158">
        <v>0</v>
      </c>
      <c r="D212" s="142">
        <v>0</v>
      </c>
      <c r="E212" s="142">
        <v>0</v>
      </c>
      <c r="F212" s="143">
        <v>0</v>
      </c>
      <c r="H212" s="158">
        <f t="shared" si="10"/>
        <v>0</v>
      </c>
      <c r="I212" s="142">
        <f t="shared" si="10"/>
        <v>0</v>
      </c>
      <c r="J212" s="142">
        <f t="shared" si="10"/>
        <v>0</v>
      </c>
      <c r="K212" s="143">
        <f t="shared" si="10"/>
        <v>0</v>
      </c>
      <c r="L212" s="129">
        <f t="shared" si="12"/>
        <v>0</v>
      </c>
      <c r="M212" s="129">
        <f t="shared" si="11"/>
        <v>0</v>
      </c>
    </row>
    <row r="213" spans="1:13" ht="12.75" hidden="1" customHeight="1">
      <c r="A213" s="159" t="s">
        <v>457</v>
      </c>
      <c r="B213" s="160" t="s">
        <v>458</v>
      </c>
      <c r="C213" s="158">
        <v>0</v>
      </c>
      <c r="D213" s="142">
        <v>0</v>
      </c>
      <c r="E213" s="142">
        <v>0</v>
      </c>
      <c r="F213" s="143">
        <v>0</v>
      </c>
      <c r="H213" s="158">
        <f t="shared" si="10"/>
        <v>0</v>
      </c>
      <c r="I213" s="142">
        <f t="shared" si="10"/>
        <v>0</v>
      </c>
      <c r="J213" s="142">
        <f t="shared" si="10"/>
        <v>0</v>
      </c>
      <c r="K213" s="143">
        <f t="shared" si="10"/>
        <v>0</v>
      </c>
      <c r="L213" s="129">
        <f t="shared" si="12"/>
        <v>0</v>
      </c>
      <c r="M213" s="129">
        <f t="shared" si="11"/>
        <v>0</v>
      </c>
    </row>
    <row r="214" spans="1:13" ht="12.75" hidden="1" customHeight="1">
      <c r="A214" s="159" t="s">
        <v>459</v>
      </c>
      <c r="B214" s="160" t="s">
        <v>460</v>
      </c>
      <c r="C214" s="158">
        <v>0</v>
      </c>
      <c r="D214" s="142">
        <v>0</v>
      </c>
      <c r="E214" s="142">
        <v>0</v>
      </c>
      <c r="F214" s="143">
        <v>0</v>
      </c>
      <c r="H214" s="158">
        <f t="shared" si="10"/>
        <v>0</v>
      </c>
      <c r="I214" s="142">
        <f t="shared" si="10"/>
        <v>0</v>
      </c>
      <c r="J214" s="142">
        <f t="shared" si="10"/>
        <v>0</v>
      </c>
      <c r="K214" s="143">
        <f t="shared" si="10"/>
        <v>0</v>
      </c>
      <c r="L214" s="129">
        <f t="shared" si="12"/>
        <v>0</v>
      </c>
      <c r="M214" s="129">
        <f t="shared" si="11"/>
        <v>0</v>
      </c>
    </row>
    <row r="215" spans="1:13" ht="12.75" hidden="1" customHeight="1">
      <c r="A215" s="159" t="s">
        <v>461</v>
      </c>
      <c r="B215" s="160" t="s">
        <v>462</v>
      </c>
      <c r="C215" s="158">
        <v>0</v>
      </c>
      <c r="D215" s="142">
        <v>0</v>
      </c>
      <c r="E215" s="142">
        <v>0</v>
      </c>
      <c r="F215" s="143">
        <v>0</v>
      </c>
      <c r="H215" s="141">
        <f t="shared" si="10"/>
        <v>0</v>
      </c>
      <c r="I215" s="142">
        <f t="shared" si="10"/>
        <v>0</v>
      </c>
      <c r="J215" s="142">
        <f t="shared" si="10"/>
        <v>0</v>
      </c>
      <c r="K215" s="143">
        <f t="shared" si="10"/>
        <v>0</v>
      </c>
      <c r="L215" s="129">
        <f t="shared" si="12"/>
        <v>0</v>
      </c>
      <c r="M215" s="129">
        <f t="shared" si="11"/>
        <v>0</v>
      </c>
    </row>
    <row r="216" spans="1:13" ht="12.75" hidden="1" customHeight="1">
      <c r="A216" s="159" t="s">
        <v>463</v>
      </c>
      <c r="B216" s="160" t="s">
        <v>464</v>
      </c>
      <c r="C216" s="158">
        <v>0</v>
      </c>
      <c r="D216" s="142">
        <v>0</v>
      </c>
      <c r="E216" s="142">
        <v>0</v>
      </c>
      <c r="F216" s="143">
        <v>0</v>
      </c>
      <c r="H216" s="148">
        <f t="shared" si="10"/>
        <v>0</v>
      </c>
      <c r="I216" s="148">
        <f t="shared" si="10"/>
        <v>0</v>
      </c>
      <c r="J216" s="148">
        <f t="shared" si="10"/>
        <v>0</v>
      </c>
      <c r="K216" s="149">
        <f t="shared" si="10"/>
        <v>0</v>
      </c>
      <c r="L216" s="129">
        <f t="shared" si="12"/>
        <v>0</v>
      </c>
      <c r="M216" s="129">
        <f t="shared" si="11"/>
        <v>0</v>
      </c>
    </row>
    <row r="217" spans="1:13" ht="12.75" hidden="1" customHeight="1">
      <c r="A217" s="150"/>
      <c r="B217" s="151"/>
      <c r="C217" s="141"/>
      <c r="D217" s="142"/>
      <c r="E217" s="142"/>
      <c r="F217" s="143"/>
      <c r="H217" s="158">
        <f t="shared" si="10"/>
        <v>0</v>
      </c>
      <c r="I217" s="142">
        <f t="shared" si="10"/>
        <v>0</v>
      </c>
      <c r="J217" s="142">
        <f t="shared" si="10"/>
        <v>0</v>
      </c>
      <c r="K217" s="143">
        <f t="shared" si="10"/>
        <v>0</v>
      </c>
      <c r="L217" s="129">
        <f t="shared" si="12"/>
        <v>0</v>
      </c>
      <c r="M217" s="129">
        <f t="shared" si="11"/>
        <v>0</v>
      </c>
    </row>
    <row r="218" spans="1:13" ht="12.75" customHeight="1">
      <c r="A218" s="153">
        <v>6.02</v>
      </c>
      <c r="B218" s="154" t="s">
        <v>465</v>
      </c>
      <c r="C218" s="148">
        <v>350000</v>
      </c>
      <c r="D218" s="148">
        <v>0</v>
      </c>
      <c r="E218" s="148">
        <v>350000</v>
      </c>
      <c r="F218" s="149">
        <v>0</v>
      </c>
      <c r="H218" s="158">
        <f t="shared" si="10"/>
        <v>0</v>
      </c>
      <c r="I218" s="142">
        <f t="shared" si="10"/>
        <v>0</v>
      </c>
      <c r="J218" s="142">
        <f t="shared" si="10"/>
        <v>0</v>
      </c>
      <c r="K218" s="143">
        <f t="shared" ref="K218:K258" si="13">+F217/1000</f>
        <v>0</v>
      </c>
      <c r="L218" s="129">
        <f t="shared" si="12"/>
        <v>0</v>
      </c>
      <c r="M218" s="129">
        <f t="shared" si="11"/>
        <v>0</v>
      </c>
    </row>
    <row r="219" spans="1:13" ht="12.75" hidden="1" customHeight="1">
      <c r="A219" s="159" t="s">
        <v>466</v>
      </c>
      <c r="B219" s="160" t="s">
        <v>467</v>
      </c>
      <c r="C219" s="158">
        <v>0</v>
      </c>
      <c r="D219" s="142">
        <v>0</v>
      </c>
      <c r="E219" s="142">
        <v>0</v>
      </c>
      <c r="F219" s="143">
        <v>0</v>
      </c>
      <c r="H219" s="158">
        <f t="shared" ref="H219:J258" si="14">+C218/1000</f>
        <v>350</v>
      </c>
      <c r="I219" s="142">
        <f t="shared" si="14"/>
        <v>0</v>
      </c>
      <c r="J219" s="142">
        <f t="shared" si="14"/>
        <v>350</v>
      </c>
      <c r="K219" s="143">
        <f t="shared" si="13"/>
        <v>0</v>
      </c>
      <c r="L219" s="129">
        <f t="shared" si="12"/>
        <v>0</v>
      </c>
      <c r="M219" s="129">
        <f t="shared" si="11"/>
        <v>0</v>
      </c>
    </row>
    <row r="220" spans="1:13" ht="12.75" hidden="1" customHeight="1">
      <c r="A220" s="159" t="s">
        <v>468</v>
      </c>
      <c r="B220" s="160" t="s">
        <v>469</v>
      </c>
      <c r="C220" s="158">
        <v>0</v>
      </c>
      <c r="D220" s="142">
        <v>0</v>
      </c>
      <c r="E220" s="142">
        <v>0</v>
      </c>
      <c r="F220" s="143">
        <v>0</v>
      </c>
      <c r="H220" s="158">
        <f t="shared" si="14"/>
        <v>0</v>
      </c>
      <c r="I220" s="142">
        <f t="shared" si="14"/>
        <v>0</v>
      </c>
      <c r="J220" s="142">
        <f t="shared" si="14"/>
        <v>0</v>
      </c>
      <c r="K220" s="143">
        <f t="shared" si="13"/>
        <v>0</v>
      </c>
      <c r="L220" s="129">
        <f t="shared" si="12"/>
        <v>0</v>
      </c>
      <c r="M220" s="129">
        <f t="shared" si="11"/>
        <v>0</v>
      </c>
    </row>
    <row r="221" spans="1:13" ht="12.75" hidden="1" customHeight="1">
      <c r="A221" s="159" t="s">
        <v>470</v>
      </c>
      <c r="B221" s="160" t="s">
        <v>471</v>
      </c>
      <c r="C221" s="158">
        <v>0</v>
      </c>
      <c r="D221" s="142">
        <v>0</v>
      </c>
      <c r="E221" s="142">
        <v>0</v>
      </c>
      <c r="F221" s="143">
        <v>0</v>
      </c>
      <c r="H221" s="141">
        <f t="shared" si="14"/>
        <v>0</v>
      </c>
      <c r="I221" s="142">
        <f t="shared" si="14"/>
        <v>0</v>
      </c>
      <c r="J221" s="142">
        <f t="shared" si="14"/>
        <v>0</v>
      </c>
      <c r="K221" s="143">
        <f t="shared" si="13"/>
        <v>0</v>
      </c>
      <c r="L221" s="129">
        <f t="shared" si="12"/>
        <v>0</v>
      </c>
      <c r="M221" s="129">
        <f t="shared" si="11"/>
        <v>0</v>
      </c>
    </row>
    <row r="222" spans="1:13" ht="12.75" customHeight="1">
      <c r="A222" s="159" t="s">
        <v>472</v>
      </c>
      <c r="B222" s="160" t="s">
        <v>473</v>
      </c>
      <c r="C222" s="158">
        <v>350000</v>
      </c>
      <c r="D222" s="142">
        <v>0</v>
      </c>
      <c r="E222" s="142">
        <v>350000</v>
      </c>
      <c r="F222" s="143">
        <v>0</v>
      </c>
      <c r="H222" s="148">
        <f t="shared" si="14"/>
        <v>0</v>
      </c>
      <c r="I222" s="148">
        <f t="shared" si="14"/>
        <v>0</v>
      </c>
      <c r="J222" s="148">
        <f t="shared" si="14"/>
        <v>0</v>
      </c>
      <c r="K222" s="149">
        <f t="shared" si="13"/>
        <v>0</v>
      </c>
      <c r="L222" s="129">
        <f t="shared" si="12"/>
        <v>0</v>
      </c>
      <c r="M222" s="129">
        <f t="shared" si="11"/>
        <v>0</v>
      </c>
    </row>
    <row r="223" spans="1:13" ht="12.75" customHeight="1">
      <c r="A223" s="159"/>
      <c r="B223" s="160"/>
      <c r="C223" s="141"/>
      <c r="D223" s="142"/>
      <c r="E223" s="142"/>
      <c r="F223" s="143"/>
      <c r="H223" s="158">
        <f t="shared" si="14"/>
        <v>350</v>
      </c>
      <c r="I223" s="142">
        <f t="shared" si="14"/>
        <v>0</v>
      </c>
      <c r="J223" s="142">
        <f t="shared" si="14"/>
        <v>350</v>
      </c>
      <c r="K223" s="143">
        <f t="shared" si="13"/>
        <v>0</v>
      </c>
      <c r="L223" s="129">
        <f t="shared" si="12"/>
        <v>0</v>
      </c>
      <c r="M223" s="129">
        <f t="shared" si="11"/>
        <v>0</v>
      </c>
    </row>
    <row r="224" spans="1:13" ht="12.75" hidden="1" customHeight="1">
      <c r="A224" s="153">
        <v>6.03</v>
      </c>
      <c r="B224" s="154" t="s">
        <v>474</v>
      </c>
      <c r="C224" s="148">
        <v>0</v>
      </c>
      <c r="D224" s="148">
        <v>0</v>
      </c>
      <c r="E224" s="148">
        <v>0</v>
      </c>
      <c r="F224" s="149">
        <v>0</v>
      </c>
      <c r="H224" s="158">
        <f t="shared" si="14"/>
        <v>0</v>
      </c>
      <c r="I224" s="142">
        <f t="shared" si="14"/>
        <v>0</v>
      </c>
      <c r="J224" s="142">
        <f t="shared" si="14"/>
        <v>0</v>
      </c>
      <c r="K224" s="143">
        <f t="shared" si="13"/>
        <v>0</v>
      </c>
      <c r="L224" s="129">
        <f t="shared" si="12"/>
        <v>0</v>
      </c>
      <c r="M224" s="129">
        <f t="shared" si="11"/>
        <v>0</v>
      </c>
    </row>
    <row r="225" spans="1:13" ht="12.75" hidden="1" customHeight="1">
      <c r="A225" s="159" t="s">
        <v>475</v>
      </c>
      <c r="B225" s="160" t="s">
        <v>476</v>
      </c>
      <c r="C225" s="158">
        <v>0</v>
      </c>
      <c r="D225" s="142">
        <v>0</v>
      </c>
      <c r="E225" s="142">
        <v>0</v>
      </c>
      <c r="F225" s="143">
        <v>0</v>
      </c>
      <c r="H225" s="158">
        <f t="shared" si="14"/>
        <v>0</v>
      </c>
      <c r="I225" s="142">
        <f t="shared" si="14"/>
        <v>0</v>
      </c>
      <c r="J225" s="142">
        <f t="shared" si="14"/>
        <v>0</v>
      </c>
      <c r="K225" s="143">
        <f t="shared" si="13"/>
        <v>0</v>
      </c>
      <c r="L225" s="129">
        <f t="shared" si="12"/>
        <v>0</v>
      </c>
      <c r="M225" s="129">
        <f t="shared" si="11"/>
        <v>0</v>
      </c>
    </row>
    <row r="226" spans="1:13" ht="12.75" hidden="1" customHeight="1">
      <c r="A226" s="159" t="s">
        <v>477</v>
      </c>
      <c r="B226" s="160" t="s">
        <v>478</v>
      </c>
      <c r="C226" s="158">
        <v>0</v>
      </c>
      <c r="D226" s="142">
        <v>0</v>
      </c>
      <c r="E226" s="142">
        <v>0</v>
      </c>
      <c r="F226" s="143">
        <v>0</v>
      </c>
      <c r="H226" s="158">
        <f t="shared" si="14"/>
        <v>0</v>
      </c>
      <c r="I226" s="142">
        <f t="shared" si="14"/>
        <v>0</v>
      </c>
      <c r="J226" s="142">
        <f t="shared" si="14"/>
        <v>0</v>
      </c>
      <c r="K226" s="143">
        <f t="shared" si="13"/>
        <v>0</v>
      </c>
      <c r="L226" s="129">
        <f t="shared" si="12"/>
        <v>0</v>
      </c>
      <c r="M226" s="129">
        <f t="shared" si="11"/>
        <v>0</v>
      </c>
    </row>
    <row r="227" spans="1:13" ht="12.75" hidden="1" customHeight="1">
      <c r="A227" s="159" t="s">
        <v>479</v>
      </c>
      <c r="B227" s="160" t="s">
        <v>480</v>
      </c>
      <c r="C227" s="158">
        <v>0</v>
      </c>
      <c r="D227" s="142">
        <v>0</v>
      </c>
      <c r="E227" s="142">
        <v>0</v>
      </c>
      <c r="F227" s="143">
        <v>0</v>
      </c>
      <c r="H227" s="158">
        <f t="shared" si="14"/>
        <v>0</v>
      </c>
      <c r="I227" s="142">
        <f t="shared" si="14"/>
        <v>0</v>
      </c>
      <c r="J227" s="142">
        <f t="shared" si="14"/>
        <v>0</v>
      </c>
      <c r="K227" s="143">
        <f t="shared" si="13"/>
        <v>0</v>
      </c>
      <c r="L227" s="129">
        <f t="shared" si="12"/>
        <v>0</v>
      </c>
      <c r="M227" s="129">
        <f t="shared" si="11"/>
        <v>0</v>
      </c>
    </row>
    <row r="228" spans="1:13" ht="12.75" hidden="1" customHeight="1">
      <c r="A228" s="159" t="s">
        <v>481</v>
      </c>
      <c r="B228" s="160" t="s">
        <v>482</v>
      </c>
      <c r="C228" s="158">
        <v>0</v>
      </c>
      <c r="D228" s="142">
        <v>0</v>
      </c>
      <c r="E228" s="142">
        <v>0</v>
      </c>
      <c r="F228" s="143">
        <v>0</v>
      </c>
      <c r="H228" s="158">
        <f t="shared" si="14"/>
        <v>0</v>
      </c>
      <c r="I228" s="142">
        <f t="shared" si="14"/>
        <v>0</v>
      </c>
      <c r="J228" s="142">
        <f t="shared" si="14"/>
        <v>0</v>
      </c>
      <c r="K228" s="143">
        <f t="shared" si="13"/>
        <v>0</v>
      </c>
      <c r="L228" s="129">
        <f t="shared" si="12"/>
        <v>0</v>
      </c>
      <c r="M228" s="129">
        <f t="shared" si="11"/>
        <v>0</v>
      </c>
    </row>
    <row r="229" spans="1:13" ht="12.75" hidden="1" customHeight="1">
      <c r="A229" s="150"/>
      <c r="B229" s="151"/>
      <c r="C229" s="158">
        <v>0</v>
      </c>
      <c r="D229" s="142">
        <v>0</v>
      </c>
      <c r="E229" s="142">
        <v>0</v>
      </c>
      <c r="F229" s="143">
        <v>0</v>
      </c>
      <c r="H229" s="141">
        <f t="shared" si="14"/>
        <v>0</v>
      </c>
      <c r="I229" s="142">
        <f t="shared" si="14"/>
        <v>0</v>
      </c>
      <c r="J229" s="142">
        <f t="shared" si="14"/>
        <v>0</v>
      </c>
      <c r="K229" s="143">
        <f t="shared" si="13"/>
        <v>0</v>
      </c>
      <c r="L229" s="129">
        <f t="shared" si="12"/>
        <v>0</v>
      </c>
      <c r="M229" s="129">
        <f t="shared" si="11"/>
        <v>0</v>
      </c>
    </row>
    <row r="230" spans="1:13" ht="12.75" hidden="1" customHeight="1">
      <c r="A230" s="159" t="s">
        <v>483</v>
      </c>
      <c r="B230" s="160" t="s">
        <v>484</v>
      </c>
      <c r="C230" s="158">
        <v>0</v>
      </c>
      <c r="D230" s="142">
        <v>0</v>
      </c>
      <c r="E230" s="142">
        <v>0</v>
      </c>
      <c r="F230" s="143">
        <v>0</v>
      </c>
      <c r="H230" s="158">
        <f t="shared" si="14"/>
        <v>0</v>
      </c>
      <c r="I230" s="158">
        <f t="shared" si="14"/>
        <v>0</v>
      </c>
      <c r="J230" s="158">
        <f t="shared" si="14"/>
        <v>0</v>
      </c>
      <c r="K230" s="164">
        <f t="shared" si="13"/>
        <v>0</v>
      </c>
      <c r="L230" s="129">
        <f t="shared" si="12"/>
        <v>0</v>
      </c>
      <c r="M230" s="129">
        <f t="shared" si="11"/>
        <v>0</v>
      </c>
    </row>
    <row r="231" spans="1:13" ht="12.75" hidden="1" customHeight="1">
      <c r="A231" s="159"/>
      <c r="B231" s="160"/>
      <c r="C231" s="141"/>
      <c r="D231" s="142"/>
      <c r="E231" s="142"/>
      <c r="F231" s="143"/>
      <c r="H231" s="158">
        <f t="shared" si="14"/>
        <v>0</v>
      </c>
      <c r="I231" s="142">
        <f t="shared" si="14"/>
        <v>0</v>
      </c>
      <c r="J231" s="142">
        <f t="shared" si="14"/>
        <v>0</v>
      </c>
      <c r="K231" s="143">
        <f t="shared" si="13"/>
        <v>0</v>
      </c>
      <c r="L231" s="129">
        <f t="shared" si="12"/>
        <v>0</v>
      </c>
      <c r="M231" s="129">
        <f t="shared" si="11"/>
        <v>0</v>
      </c>
    </row>
    <row r="232" spans="1:13" ht="12.75" hidden="1" customHeight="1">
      <c r="A232" s="153">
        <v>6.04</v>
      </c>
      <c r="B232" s="154" t="s">
        <v>485</v>
      </c>
      <c r="C232" s="158">
        <v>0</v>
      </c>
      <c r="D232" s="158">
        <v>0</v>
      </c>
      <c r="E232" s="158">
        <v>0</v>
      </c>
      <c r="F232" s="164">
        <v>0</v>
      </c>
      <c r="H232" s="158">
        <f t="shared" si="14"/>
        <v>0</v>
      </c>
      <c r="I232" s="142">
        <f t="shared" si="14"/>
        <v>0</v>
      </c>
      <c r="J232" s="142">
        <f t="shared" si="14"/>
        <v>0</v>
      </c>
      <c r="K232" s="143">
        <f t="shared" si="13"/>
        <v>0</v>
      </c>
      <c r="L232" s="129">
        <f t="shared" si="12"/>
        <v>0</v>
      </c>
      <c r="M232" s="129">
        <f t="shared" si="11"/>
        <v>0</v>
      </c>
    </row>
    <row r="233" spans="1:13" ht="12.75" hidden="1" customHeight="1">
      <c r="A233" s="159" t="s">
        <v>486</v>
      </c>
      <c r="B233" s="160" t="s">
        <v>487</v>
      </c>
      <c r="C233" s="158">
        <v>0</v>
      </c>
      <c r="D233" s="142">
        <v>0</v>
      </c>
      <c r="E233" s="142">
        <v>0</v>
      </c>
      <c r="F233" s="143">
        <v>0</v>
      </c>
      <c r="H233" s="158">
        <f t="shared" si="14"/>
        <v>0</v>
      </c>
      <c r="I233" s="142">
        <f t="shared" si="14"/>
        <v>0</v>
      </c>
      <c r="J233" s="142">
        <f t="shared" si="14"/>
        <v>0</v>
      </c>
      <c r="K233" s="143">
        <f t="shared" si="13"/>
        <v>0</v>
      </c>
      <c r="L233" s="129">
        <f t="shared" si="12"/>
        <v>0</v>
      </c>
      <c r="M233" s="129">
        <f t="shared" si="11"/>
        <v>0</v>
      </c>
    </row>
    <row r="234" spans="1:13" ht="12.75" hidden="1" customHeight="1">
      <c r="A234" s="159" t="s">
        <v>488</v>
      </c>
      <c r="B234" s="160" t="s">
        <v>489</v>
      </c>
      <c r="C234" s="158">
        <v>0</v>
      </c>
      <c r="D234" s="142">
        <v>0</v>
      </c>
      <c r="E234" s="142">
        <v>0</v>
      </c>
      <c r="F234" s="143">
        <v>0</v>
      </c>
      <c r="H234" s="158">
        <f t="shared" si="14"/>
        <v>0</v>
      </c>
      <c r="I234" s="142">
        <f t="shared" si="14"/>
        <v>0</v>
      </c>
      <c r="J234" s="142">
        <f t="shared" si="14"/>
        <v>0</v>
      </c>
      <c r="K234" s="143">
        <f t="shared" si="13"/>
        <v>0</v>
      </c>
      <c r="L234" s="129">
        <f t="shared" si="12"/>
        <v>0</v>
      </c>
      <c r="M234" s="129">
        <f t="shared" si="11"/>
        <v>0</v>
      </c>
    </row>
    <row r="235" spans="1:13" ht="12.75" hidden="1" customHeight="1">
      <c r="A235" s="159" t="s">
        <v>490</v>
      </c>
      <c r="B235" s="160" t="s">
        <v>491</v>
      </c>
      <c r="C235" s="158">
        <v>0</v>
      </c>
      <c r="D235" s="142">
        <v>0</v>
      </c>
      <c r="E235" s="142">
        <v>0</v>
      </c>
      <c r="F235" s="143">
        <v>0</v>
      </c>
      <c r="H235" s="141">
        <f t="shared" si="14"/>
        <v>0</v>
      </c>
      <c r="I235" s="142">
        <f t="shared" si="14"/>
        <v>0</v>
      </c>
      <c r="J235" s="142">
        <f t="shared" si="14"/>
        <v>0</v>
      </c>
      <c r="K235" s="143">
        <f t="shared" si="13"/>
        <v>0</v>
      </c>
      <c r="L235" s="129">
        <f t="shared" si="12"/>
        <v>0</v>
      </c>
      <c r="M235" s="129">
        <f t="shared" si="11"/>
        <v>0</v>
      </c>
    </row>
    <row r="236" spans="1:13" s="127" customFormat="1" ht="12.75" hidden="1" customHeight="1">
      <c r="A236" s="150" t="s">
        <v>492</v>
      </c>
      <c r="B236" s="151" t="s">
        <v>493</v>
      </c>
      <c r="C236" s="158">
        <v>0</v>
      </c>
      <c r="D236" s="142">
        <v>0</v>
      </c>
      <c r="E236" s="142">
        <v>0</v>
      </c>
      <c r="F236" s="143">
        <v>0</v>
      </c>
      <c r="H236" s="158">
        <f t="shared" si="14"/>
        <v>0</v>
      </c>
      <c r="I236" s="158">
        <f t="shared" si="14"/>
        <v>0</v>
      </c>
      <c r="J236" s="158">
        <f t="shared" si="14"/>
        <v>0</v>
      </c>
      <c r="K236" s="164">
        <f t="shared" si="13"/>
        <v>0</v>
      </c>
      <c r="L236" s="129">
        <f t="shared" si="12"/>
        <v>0</v>
      </c>
      <c r="M236" s="129">
        <f t="shared" si="11"/>
        <v>0</v>
      </c>
    </row>
    <row r="237" spans="1:13" ht="12.75" hidden="1" customHeight="1">
      <c r="A237" s="159"/>
      <c r="B237" s="160"/>
      <c r="C237" s="141"/>
      <c r="D237" s="142"/>
      <c r="E237" s="142"/>
      <c r="F237" s="143"/>
      <c r="H237" s="158">
        <f t="shared" si="14"/>
        <v>0</v>
      </c>
      <c r="I237" s="142">
        <f t="shared" si="14"/>
        <v>0</v>
      </c>
      <c r="J237" s="142">
        <f t="shared" si="14"/>
        <v>0</v>
      </c>
      <c r="K237" s="143">
        <f t="shared" si="13"/>
        <v>0</v>
      </c>
      <c r="L237" s="129">
        <f t="shared" si="12"/>
        <v>0</v>
      </c>
      <c r="M237" s="129">
        <f t="shared" si="11"/>
        <v>0</v>
      </c>
    </row>
    <row r="238" spans="1:13" ht="12.75" hidden="1" customHeight="1">
      <c r="A238" s="153">
        <v>6.05</v>
      </c>
      <c r="B238" s="154" t="s">
        <v>494</v>
      </c>
      <c r="C238" s="158">
        <v>0</v>
      </c>
      <c r="D238" s="158">
        <v>0</v>
      </c>
      <c r="E238" s="158">
        <v>0</v>
      </c>
      <c r="F238" s="164">
        <v>0</v>
      </c>
      <c r="H238" s="141">
        <f t="shared" si="14"/>
        <v>0</v>
      </c>
      <c r="I238" s="142">
        <f t="shared" si="14"/>
        <v>0</v>
      </c>
      <c r="J238" s="142">
        <f t="shared" si="14"/>
        <v>0</v>
      </c>
      <c r="K238" s="143">
        <f t="shared" si="13"/>
        <v>0</v>
      </c>
      <c r="L238" s="129">
        <f t="shared" si="12"/>
        <v>0</v>
      </c>
      <c r="M238" s="129">
        <f t="shared" si="11"/>
        <v>0</v>
      </c>
    </row>
    <row r="239" spans="1:13" ht="12.75" hidden="1" customHeight="1">
      <c r="A239" s="159" t="s">
        <v>495</v>
      </c>
      <c r="B239" s="160" t="s">
        <v>496</v>
      </c>
      <c r="C239" s="158">
        <v>0</v>
      </c>
      <c r="D239" s="142">
        <v>0</v>
      </c>
      <c r="E239" s="142">
        <v>0</v>
      </c>
      <c r="F239" s="143">
        <v>0</v>
      </c>
      <c r="H239" s="148">
        <f t="shared" si="14"/>
        <v>0</v>
      </c>
      <c r="I239" s="148">
        <f t="shared" si="14"/>
        <v>0</v>
      </c>
      <c r="J239" s="148">
        <f t="shared" si="14"/>
        <v>0</v>
      </c>
      <c r="K239" s="149">
        <f t="shared" si="13"/>
        <v>0</v>
      </c>
      <c r="L239" s="129">
        <f t="shared" si="12"/>
        <v>0</v>
      </c>
      <c r="M239" s="129">
        <f t="shared" si="11"/>
        <v>0</v>
      </c>
    </row>
    <row r="240" spans="1:13" ht="12.75" hidden="1" customHeight="1">
      <c r="A240" s="159"/>
      <c r="B240" s="160"/>
      <c r="C240" s="141"/>
      <c r="D240" s="142"/>
      <c r="E240" s="142"/>
      <c r="F240" s="143"/>
      <c r="H240" s="158">
        <f t="shared" si="14"/>
        <v>0</v>
      </c>
      <c r="I240" s="142">
        <f t="shared" si="14"/>
        <v>0</v>
      </c>
      <c r="J240" s="142">
        <f t="shared" si="14"/>
        <v>0</v>
      </c>
      <c r="K240" s="143">
        <f t="shared" si="13"/>
        <v>0</v>
      </c>
      <c r="L240" s="129">
        <f t="shared" si="12"/>
        <v>0</v>
      </c>
      <c r="M240" s="129">
        <f t="shared" si="11"/>
        <v>0</v>
      </c>
    </row>
    <row r="241" spans="1:13" ht="12.75" hidden="1" customHeight="1">
      <c r="A241" s="153">
        <v>6.06</v>
      </c>
      <c r="B241" s="154" t="s">
        <v>497</v>
      </c>
      <c r="C241" s="148">
        <v>0</v>
      </c>
      <c r="D241" s="148">
        <v>0</v>
      </c>
      <c r="E241" s="148">
        <v>0</v>
      </c>
      <c r="F241" s="149">
        <v>0</v>
      </c>
      <c r="H241" s="158">
        <f t="shared" si="14"/>
        <v>0</v>
      </c>
      <c r="I241" s="142">
        <f t="shared" si="14"/>
        <v>0</v>
      </c>
      <c r="J241" s="142">
        <f t="shared" si="14"/>
        <v>0</v>
      </c>
      <c r="K241" s="143">
        <f t="shared" si="13"/>
        <v>0</v>
      </c>
      <c r="L241" s="129">
        <f t="shared" si="12"/>
        <v>0</v>
      </c>
      <c r="M241" s="129">
        <f t="shared" si="11"/>
        <v>0</v>
      </c>
    </row>
    <row r="242" spans="1:13" ht="12.75" hidden="1" customHeight="1">
      <c r="A242" s="159" t="s">
        <v>498</v>
      </c>
      <c r="B242" s="160" t="s">
        <v>499</v>
      </c>
      <c r="C242" s="158">
        <v>0</v>
      </c>
      <c r="D242" s="142">
        <v>0</v>
      </c>
      <c r="E242" s="142">
        <v>0</v>
      </c>
      <c r="F242" s="143">
        <v>0</v>
      </c>
      <c r="H242" s="141">
        <f t="shared" si="14"/>
        <v>0</v>
      </c>
      <c r="I242" s="142">
        <f t="shared" si="14"/>
        <v>0</v>
      </c>
      <c r="J242" s="142">
        <f t="shared" si="14"/>
        <v>0</v>
      </c>
      <c r="K242" s="143">
        <f t="shared" si="13"/>
        <v>0</v>
      </c>
      <c r="L242" s="129">
        <f t="shared" si="12"/>
        <v>0</v>
      </c>
      <c r="M242" s="129">
        <f t="shared" si="11"/>
        <v>0</v>
      </c>
    </row>
    <row r="243" spans="1:13" ht="12.75" hidden="1" customHeight="1">
      <c r="A243" s="159" t="s">
        <v>500</v>
      </c>
      <c r="B243" s="160" t="s">
        <v>501</v>
      </c>
      <c r="C243" s="158">
        <v>0</v>
      </c>
      <c r="D243" s="142">
        <v>0</v>
      </c>
      <c r="E243" s="142">
        <v>0</v>
      </c>
      <c r="F243" s="143">
        <v>0</v>
      </c>
      <c r="H243" s="148">
        <f t="shared" si="14"/>
        <v>0</v>
      </c>
      <c r="I243" s="148">
        <f t="shared" si="14"/>
        <v>0</v>
      </c>
      <c r="J243" s="148">
        <f t="shared" si="14"/>
        <v>0</v>
      </c>
      <c r="K243" s="149">
        <f t="shared" si="13"/>
        <v>0</v>
      </c>
      <c r="L243" s="129">
        <f t="shared" si="12"/>
        <v>0</v>
      </c>
      <c r="M243" s="129">
        <f t="shared" si="11"/>
        <v>0</v>
      </c>
    </row>
    <row r="244" spans="1:13">
      <c r="A244" s="150"/>
      <c r="B244" s="151"/>
      <c r="C244" s="141"/>
      <c r="D244" s="142"/>
      <c r="E244" s="142"/>
      <c r="F244" s="143"/>
      <c r="H244" s="158">
        <f t="shared" si="14"/>
        <v>0</v>
      </c>
      <c r="I244" s="142">
        <f t="shared" si="14"/>
        <v>0</v>
      </c>
      <c r="J244" s="142">
        <f t="shared" si="14"/>
        <v>0</v>
      </c>
      <c r="K244" s="143">
        <f t="shared" si="13"/>
        <v>0</v>
      </c>
      <c r="L244" s="129">
        <f t="shared" si="12"/>
        <v>0</v>
      </c>
      <c r="M244" s="129">
        <f t="shared" si="11"/>
        <v>0</v>
      </c>
    </row>
    <row r="245" spans="1:13" s="155" customFormat="1" ht="26.25" customHeight="1">
      <c r="A245" s="153" t="s">
        <v>502</v>
      </c>
      <c r="B245" s="154" t="s">
        <v>503</v>
      </c>
      <c r="C245" s="148">
        <v>9248400</v>
      </c>
      <c r="D245" s="148">
        <v>0</v>
      </c>
      <c r="E245" s="148">
        <v>9248400</v>
      </c>
      <c r="F245" s="149">
        <v>0</v>
      </c>
      <c r="H245" s="158">
        <f t="shared" si="14"/>
        <v>0</v>
      </c>
      <c r="I245" s="142">
        <f t="shared" si="14"/>
        <v>0</v>
      </c>
      <c r="J245" s="142">
        <f t="shared" si="14"/>
        <v>0</v>
      </c>
      <c r="K245" s="143">
        <f t="shared" si="13"/>
        <v>0</v>
      </c>
      <c r="L245" s="156">
        <f t="shared" si="12"/>
        <v>0</v>
      </c>
      <c r="M245" s="156">
        <f t="shared" si="11"/>
        <v>0</v>
      </c>
    </row>
    <row r="246" spans="1:13" ht="27" customHeight="1">
      <c r="A246" s="150" t="s">
        <v>504</v>
      </c>
      <c r="B246" s="151" t="s">
        <v>505</v>
      </c>
      <c r="C246" s="158">
        <v>9248400</v>
      </c>
      <c r="D246" s="142">
        <v>0</v>
      </c>
      <c r="E246" s="142">
        <v>9248400</v>
      </c>
      <c r="F246" s="143">
        <v>0</v>
      </c>
      <c r="H246" s="141">
        <f t="shared" si="14"/>
        <v>9248.4</v>
      </c>
      <c r="I246" s="142">
        <f t="shared" si="14"/>
        <v>0</v>
      </c>
      <c r="J246" s="142">
        <f t="shared" si="14"/>
        <v>9248.4</v>
      </c>
      <c r="K246" s="143">
        <f t="shared" si="13"/>
        <v>0</v>
      </c>
      <c r="L246" s="129">
        <f t="shared" si="12"/>
        <v>0</v>
      </c>
      <c r="M246" s="129">
        <f t="shared" si="11"/>
        <v>0</v>
      </c>
    </row>
    <row r="247" spans="1:13" ht="17.25" customHeight="1">
      <c r="A247" s="159" t="s">
        <v>506</v>
      </c>
      <c r="B247" s="160" t="s">
        <v>507</v>
      </c>
      <c r="C247" s="158">
        <v>0</v>
      </c>
      <c r="D247" s="142">
        <v>0</v>
      </c>
      <c r="E247" s="142">
        <v>0</v>
      </c>
      <c r="F247" s="143">
        <v>0</v>
      </c>
      <c r="H247" s="158">
        <f t="shared" si="14"/>
        <v>9248.4</v>
      </c>
      <c r="I247" s="158">
        <f t="shared" si="14"/>
        <v>0</v>
      </c>
      <c r="J247" s="158">
        <f t="shared" si="14"/>
        <v>9248.4</v>
      </c>
      <c r="K247" s="164">
        <f t="shared" si="13"/>
        <v>0</v>
      </c>
      <c r="L247" s="129">
        <f t="shared" si="12"/>
        <v>0</v>
      </c>
      <c r="M247" s="129">
        <f t="shared" si="11"/>
        <v>0</v>
      </c>
    </row>
    <row r="248" spans="1:13" ht="12.75" customHeight="1">
      <c r="A248" s="150"/>
      <c r="B248" s="151"/>
      <c r="C248" s="141"/>
      <c r="D248" s="142"/>
      <c r="E248" s="142"/>
      <c r="F248" s="143"/>
      <c r="H248" s="141">
        <f t="shared" si="14"/>
        <v>0</v>
      </c>
      <c r="I248" s="142">
        <f t="shared" si="14"/>
        <v>0</v>
      </c>
      <c r="J248" s="142">
        <f t="shared" si="14"/>
        <v>0</v>
      </c>
      <c r="K248" s="143">
        <f t="shared" si="13"/>
        <v>0</v>
      </c>
      <c r="L248" s="129">
        <f t="shared" si="12"/>
        <v>0</v>
      </c>
      <c r="M248" s="129">
        <f t="shared" si="11"/>
        <v>0</v>
      </c>
    </row>
    <row r="249" spans="1:13" s="155" customFormat="1" ht="12.75" hidden="1" customHeight="1">
      <c r="A249" s="153">
        <v>9</v>
      </c>
      <c r="B249" s="154" t="s">
        <v>508</v>
      </c>
      <c r="C249" s="158">
        <v>0</v>
      </c>
      <c r="D249" s="158">
        <v>0</v>
      </c>
      <c r="E249" s="158">
        <v>0</v>
      </c>
      <c r="F249" s="164">
        <v>0</v>
      </c>
      <c r="H249" s="158">
        <f t="shared" si="14"/>
        <v>0</v>
      </c>
      <c r="I249" s="158">
        <f t="shared" si="14"/>
        <v>0</v>
      </c>
      <c r="J249" s="158">
        <f t="shared" si="14"/>
        <v>0</v>
      </c>
      <c r="K249" s="164">
        <f t="shared" si="13"/>
        <v>0</v>
      </c>
      <c r="L249" s="156">
        <f t="shared" si="12"/>
        <v>0</v>
      </c>
      <c r="M249" s="156">
        <f t="shared" si="11"/>
        <v>0</v>
      </c>
    </row>
    <row r="250" spans="1:13" ht="12.75" hidden="1" customHeight="1">
      <c r="A250" s="150"/>
      <c r="B250" s="151"/>
      <c r="C250" s="141"/>
      <c r="D250" s="142"/>
      <c r="E250" s="142"/>
      <c r="F250" s="143"/>
      <c r="H250" s="158">
        <f t="shared" si="14"/>
        <v>0</v>
      </c>
      <c r="I250" s="142">
        <f t="shared" si="14"/>
        <v>0</v>
      </c>
      <c r="J250" s="142">
        <f t="shared" si="14"/>
        <v>0</v>
      </c>
      <c r="K250" s="143">
        <f t="shared" si="13"/>
        <v>0</v>
      </c>
      <c r="L250" s="129">
        <f t="shared" si="12"/>
        <v>0</v>
      </c>
      <c r="M250" s="129">
        <f t="shared" si="11"/>
        <v>0</v>
      </c>
    </row>
    <row r="251" spans="1:13" ht="12.75" hidden="1" customHeight="1">
      <c r="A251" s="153">
        <v>9.01</v>
      </c>
      <c r="B251" s="154" t="s">
        <v>509</v>
      </c>
      <c r="C251" s="158">
        <v>0</v>
      </c>
      <c r="D251" s="158">
        <v>0</v>
      </c>
      <c r="E251" s="158">
        <v>0</v>
      </c>
      <c r="F251" s="164">
        <v>0</v>
      </c>
      <c r="H251" s="141">
        <f t="shared" si="14"/>
        <v>0</v>
      </c>
      <c r="I251" s="142">
        <f t="shared" si="14"/>
        <v>0</v>
      </c>
      <c r="J251" s="142">
        <f t="shared" si="14"/>
        <v>0</v>
      </c>
      <c r="K251" s="143">
        <f t="shared" si="13"/>
        <v>0</v>
      </c>
      <c r="L251" s="129">
        <f t="shared" si="12"/>
        <v>0</v>
      </c>
      <c r="M251" s="129">
        <f t="shared" si="11"/>
        <v>0</v>
      </c>
    </row>
    <row r="252" spans="1:13" ht="12.75" hidden="1" customHeight="1">
      <c r="A252" s="159" t="s">
        <v>510</v>
      </c>
      <c r="B252" s="160" t="s">
        <v>511</v>
      </c>
      <c r="C252" s="158">
        <v>0</v>
      </c>
      <c r="D252" s="142">
        <v>0</v>
      </c>
      <c r="E252" s="142">
        <v>0</v>
      </c>
      <c r="F252" s="143">
        <v>0</v>
      </c>
      <c r="H252" s="158">
        <f t="shared" si="14"/>
        <v>0</v>
      </c>
      <c r="I252" s="158">
        <f t="shared" si="14"/>
        <v>0</v>
      </c>
      <c r="J252" s="158">
        <f t="shared" si="14"/>
        <v>0</v>
      </c>
      <c r="K252" s="164">
        <f t="shared" si="13"/>
        <v>0</v>
      </c>
      <c r="L252" s="129">
        <f t="shared" si="12"/>
        <v>0</v>
      </c>
      <c r="M252" s="129">
        <f t="shared" si="11"/>
        <v>0</v>
      </c>
    </row>
    <row r="253" spans="1:13" ht="12.75" hidden="1" customHeight="1">
      <c r="A253" s="159"/>
      <c r="B253" s="160"/>
      <c r="C253" s="141"/>
      <c r="D253" s="142"/>
      <c r="E253" s="142"/>
      <c r="F253" s="143"/>
      <c r="H253" s="158">
        <f t="shared" si="14"/>
        <v>0</v>
      </c>
      <c r="I253" s="142">
        <f t="shared" si="14"/>
        <v>0</v>
      </c>
      <c r="J253" s="142">
        <f t="shared" si="14"/>
        <v>0</v>
      </c>
      <c r="K253" s="143">
        <f t="shared" si="13"/>
        <v>0</v>
      </c>
      <c r="L253" s="129">
        <f t="shared" si="12"/>
        <v>0</v>
      </c>
      <c r="M253" s="129">
        <f t="shared" si="11"/>
        <v>0</v>
      </c>
    </row>
    <row r="254" spans="1:13" s="155" customFormat="1" ht="12.75" hidden="1" customHeight="1">
      <c r="A254" s="153" t="s">
        <v>512</v>
      </c>
      <c r="B254" s="154" t="s">
        <v>513</v>
      </c>
      <c r="C254" s="158">
        <v>0</v>
      </c>
      <c r="D254" s="158">
        <v>0</v>
      </c>
      <c r="E254" s="158">
        <v>0</v>
      </c>
      <c r="F254" s="164">
        <v>0</v>
      </c>
      <c r="H254" s="158">
        <f t="shared" si="14"/>
        <v>0</v>
      </c>
      <c r="I254" s="142">
        <f t="shared" si="14"/>
        <v>0</v>
      </c>
      <c r="J254" s="142">
        <f t="shared" si="14"/>
        <v>0</v>
      </c>
      <c r="K254" s="143">
        <f t="shared" si="13"/>
        <v>0</v>
      </c>
      <c r="L254" s="156">
        <f t="shared" si="12"/>
        <v>0</v>
      </c>
      <c r="M254" s="156">
        <f t="shared" si="11"/>
        <v>0</v>
      </c>
    </row>
    <row r="255" spans="1:13" ht="12.75" hidden="1" customHeight="1">
      <c r="A255" s="150" t="s">
        <v>514</v>
      </c>
      <c r="B255" s="151" t="s">
        <v>515</v>
      </c>
      <c r="C255" s="158">
        <v>0</v>
      </c>
      <c r="D255" s="142">
        <v>0</v>
      </c>
      <c r="E255" s="142">
        <v>0</v>
      </c>
      <c r="F255" s="143">
        <v>0</v>
      </c>
      <c r="H255" s="166">
        <f t="shared" si="14"/>
        <v>0</v>
      </c>
      <c r="I255" s="166">
        <f t="shared" si="14"/>
        <v>0</v>
      </c>
      <c r="J255" s="166">
        <f t="shared" si="14"/>
        <v>0</v>
      </c>
      <c r="K255" s="167">
        <f t="shared" si="13"/>
        <v>0</v>
      </c>
      <c r="L255" s="129">
        <f t="shared" si="12"/>
        <v>0</v>
      </c>
      <c r="M255" s="129">
        <f t="shared" si="11"/>
        <v>0</v>
      </c>
    </row>
    <row r="256" spans="1:13" ht="25.5" hidden="1" customHeight="1">
      <c r="A256" s="150" t="s">
        <v>516</v>
      </c>
      <c r="B256" s="151" t="s">
        <v>517</v>
      </c>
      <c r="C256" s="158">
        <v>0</v>
      </c>
      <c r="D256" s="142">
        <v>0</v>
      </c>
      <c r="E256" s="142">
        <v>0</v>
      </c>
      <c r="F256" s="143">
        <v>0</v>
      </c>
      <c r="H256" s="139">
        <f t="shared" si="14"/>
        <v>0</v>
      </c>
      <c r="I256" s="139">
        <f t="shared" si="14"/>
        <v>0</v>
      </c>
      <c r="J256" s="139">
        <f t="shared" si="14"/>
        <v>0</v>
      </c>
      <c r="K256" s="140">
        <f t="shared" si="13"/>
        <v>0</v>
      </c>
      <c r="L256" s="129">
        <f t="shared" si="12"/>
        <v>0</v>
      </c>
      <c r="M256" s="129">
        <f t="shared" si="11"/>
        <v>0</v>
      </c>
    </row>
    <row r="257" spans="1:13" ht="13.5" thickBot="1">
      <c r="A257" s="168"/>
      <c r="B257" s="169"/>
      <c r="C257" s="166"/>
      <c r="D257" s="166"/>
      <c r="E257" s="166"/>
      <c r="F257" s="167"/>
      <c r="H257" s="136">
        <f t="shared" si="14"/>
        <v>0</v>
      </c>
      <c r="I257" s="146">
        <f t="shared" si="14"/>
        <v>0</v>
      </c>
      <c r="J257" s="146">
        <f t="shared" si="14"/>
        <v>0</v>
      </c>
      <c r="K257" s="147">
        <f t="shared" si="13"/>
        <v>0</v>
      </c>
      <c r="L257" s="129">
        <f t="shared" si="12"/>
        <v>0</v>
      </c>
      <c r="M257" s="129">
        <f t="shared" si="11"/>
        <v>0</v>
      </c>
    </row>
    <row r="258" spans="1:13">
      <c r="H258" s="141">
        <f t="shared" si="14"/>
        <v>0</v>
      </c>
      <c r="I258" s="142">
        <f t="shared" si="14"/>
        <v>0</v>
      </c>
      <c r="J258" s="142">
        <f t="shared" si="14"/>
        <v>0</v>
      </c>
      <c r="K258" s="143">
        <f t="shared" si="13"/>
        <v>0</v>
      </c>
      <c r="L258" s="129"/>
      <c r="M258" s="129"/>
    </row>
    <row r="259" spans="1:13">
      <c r="L259" s="129"/>
      <c r="M259" s="129"/>
    </row>
    <row r="260" spans="1:13">
      <c r="L260" s="129"/>
      <c r="M260" s="129"/>
    </row>
    <row r="261" spans="1:13">
      <c r="L261" s="129"/>
      <c r="M261" s="129"/>
    </row>
    <row r="262" spans="1:13">
      <c r="L262" s="129"/>
      <c r="M262" s="129"/>
    </row>
    <row r="263" spans="1:13">
      <c r="L263" s="129"/>
      <c r="M263" s="129"/>
    </row>
    <row r="264" spans="1:13">
      <c r="L264" s="129"/>
      <c r="M264" s="129"/>
    </row>
    <row r="265" spans="1:13">
      <c r="L265" s="129"/>
      <c r="M265" s="129"/>
    </row>
    <row r="266" spans="1:13">
      <c r="L266" s="129"/>
      <c r="M266" s="129"/>
    </row>
    <row r="267" spans="1:13">
      <c r="L267" s="129"/>
      <c r="M267" s="129"/>
    </row>
    <row r="268" spans="1:13">
      <c r="L268" s="129"/>
      <c r="M268" s="129"/>
    </row>
    <row r="269" spans="1:13">
      <c r="L269" s="129"/>
      <c r="M269" s="129"/>
    </row>
    <row r="270" spans="1:13">
      <c r="L270" s="129"/>
      <c r="M270" s="129"/>
    </row>
    <row r="271" spans="1:13">
      <c r="L271" s="129"/>
      <c r="M271" s="129"/>
    </row>
    <row r="272" spans="1:13">
      <c r="L272" s="129"/>
      <c r="M272" s="129"/>
    </row>
    <row r="273" spans="12:13">
      <c r="L273" s="129"/>
      <c r="M273" s="129"/>
    </row>
    <row r="274" spans="12:13">
      <c r="L274" s="129"/>
      <c r="M274" s="129"/>
    </row>
    <row r="275" spans="12:13">
      <c r="L275" s="129"/>
      <c r="M275" s="129"/>
    </row>
    <row r="276" spans="12:13">
      <c r="L276" s="129"/>
      <c r="M276" s="129"/>
    </row>
    <row r="277" spans="12:13">
      <c r="L277" s="129"/>
      <c r="M277" s="129"/>
    </row>
    <row r="278" spans="12:13">
      <c r="L278" s="129"/>
      <c r="M278" s="129"/>
    </row>
    <row r="279" spans="12:13">
      <c r="L279" s="129"/>
      <c r="M279" s="129"/>
    </row>
    <row r="280" spans="12:13">
      <c r="L280" s="129"/>
      <c r="M280" s="129"/>
    </row>
    <row r="281" spans="12:13">
      <c r="L281" s="129"/>
      <c r="M281" s="129"/>
    </row>
    <row r="282" spans="12:13">
      <c r="L282" s="129"/>
      <c r="M282" s="129"/>
    </row>
    <row r="283" spans="12:13">
      <c r="L283" s="129"/>
      <c r="M283" s="129"/>
    </row>
    <row r="284" spans="12:13">
      <c r="L284" s="129"/>
      <c r="M284" s="129"/>
    </row>
    <row r="285" spans="12:13">
      <c r="L285" s="129"/>
      <c r="M285" s="129"/>
    </row>
    <row r="286" spans="12:13">
      <c r="L286" s="129"/>
      <c r="M286" s="129"/>
    </row>
    <row r="287" spans="12:13">
      <c r="L287" s="129"/>
      <c r="M287" s="129"/>
    </row>
    <row r="288" spans="12:13">
      <c r="L288" s="129"/>
      <c r="M288" s="129"/>
    </row>
    <row r="289" spans="12:13">
      <c r="L289" s="129"/>
      <c r="M289" s="129"/>
    </row>
    <row r="290" spans="12:13">
      <c r="L290" s="129"/>
      <c r="M290" s="129"/>
    </row>
    <row r="291" spans="12:13">
      <c r="L291" s="129"/>
      <c r="M291" s="129"/>
    </row>
    <row r="292" spans="12:13">
      <c r="L292" s="129"/>
      <c r="M292" s="129"/>
    </row>
    <row r="293" spans="12:13">
      <c r="L293" s="129"/>
      <c r="M293" s="129"/>
    </row>
    <row r="294" spans="12:13">
      <c r="L294" s="129"/>
      <c r="M294" s="129"/>
    </row>
  </sheetData>
  <mergeCells count="9">
    <mergeCell ref="H6:K6"/>
    <mergeCell ref="C7:C8"/>
    <mergeCell ref="A1:F1"/>
    <mergeCell ref="A2:F2"/>
    <mergeCell ref="A3:F3"/>
    <mergeCell ref="A4:F4"/>
    <mergeCell ref="A6:A8"/>
    <mergeCell ref="B6:B8"/>
    <mergeCell ref="C6:F6"/>
  </mergeCells>
  <printOptions horizontalCentered="1"/>
  <pageMargins left="0.39370078740157483" right="0.39370078740157483" top="0.59055118110236227" bottom="0" header="0.19685039370078741" footer="0"/>
  <pageSetup scale="85" fitToHeight="4" orientation="landscape" r:id="rId1"/>
  <headerFooter alignWithMargins="0">
    <oddHeader>&amp;L&amp;G</oddHeader>
  </headerFooter>
  <rowBreaks count="3" manualBreakCount="3">
    <brk id="48" max="5" man="1"/>
    <brk id="102" max="5" man="1"/>
    <brk id="151" max="5"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tabSelected="1" zoomScaleNormal="100" zoomScaleSheetLayoutView="80" workbookViewId="0">
      <selection activeCell="D22" sqref="D22"/>
    </sheetView>
  </sheetViews>
  <sheetFormatPr baseColWidth="10" defaultRowHeight="12.75"/>
  <cols>
    <col min="1" max="1" width="8.85546875" style="381" customWidth="1"/>
    <col min="2" max="2" width="40.85546875" style="382" customWidth="1"/>
    <col min="3" max="3" width="17.7109375" style="383" customWidth="1"/>
    <col min="4" max="4" width="60.5703125" style="384" customWidth="1"/>
    <col min="5" max="5" width="18.85546875" style="409" customWidth="1"/>
    <col min="6" max="6" width="18.85546875" style="410" customWidth="1"/>
    <col min="7" max="7" width="15.7109375" style="268" bestFit="1" customWidth="1"/>
    <col min="8" max="8" width="11.42578125" style="268"/>
    <col min="9" max="9" width="12.7109375" style="268" bestFit="1" customWidth="1"/>
    <col min="10" max="16384" width="11.42578125" style="268"/>
  </cols>
  <sheetData>
    <row r="1" spans="1:7" ht="18" customHeight="1">
      <c r="A1" s="267" t="s">
        <v>0</v>
      </c>
      <c r="B1" s="267"/>
      <c r="C1" s="267"/>
      <c r="D1" s="267"/>
      <c r="E1" s="267"/>
      <c r="F1" s="267"/>
    </row>
    <row r="2" spans="1:7" ht="21.75" customHeight="1">
      <c r="A2" s="267" t="s">
        <v>118</v>
      </c>
      <c r="B2" s="267"/>
      <c r="C2" s="267"/>
      <c r="D2" s="267"/>
      <c r="E2" s="267"/>
      <c r="F2" s="267"/>
    </row>
    <row r="3" spans="1:7" ht="23.25" customHeight="1">
      <c r="A3" s="269" t="s">
        <v>618</v>
      </c>
      <c r="B3" s="269"/>
      <c r="C3" s="269"/>
      <c r="D3" s="269"/>
      <c r="E3" s="269"/>
      <c r="F3" s="269"/>
    </row>
    <row r="4" spans="1:7" ht="18" customHeight="1" thickBot="1">
      <c r="A4" s="267" t="s">
        <v>120</v>
      </c>
      <c r="B4" s="267"/>
      <c r="C4" s="267"/>
      <c r="D4" s="267"/>
      <c r="E4" s="267"/>
      <c r="F4" s="267"/>
    </row>
    <row r="5" spans="1:7" ht="13.5" customHeight="1">
      <c r="A5" s="270" t="s">
        <v>121</v>
      </c>
      <c r="B5" s="271" t="s">
        <v>122</v>
      </c>
      <c r="C5" s="272" t="s">
        <v>619</v>
      </c>
      <c r="D5" s="273"/>
      <c r="E5" s="274" t="s">
        <v>525</v>
      </c>
      <c r="F5" s="275" t="s">
        <v>9</v>
      </c>
    </row>
    <row r="6" spans="1:7" ht="12.75" customHeight="1">
      <c r="A6" s="276"/>
      <c r="B6" s="276"/>
      <c r="C6" s="277"/>
      <c r="D6" s="278"/>
      <c r="E6" s="279"/>
      <c r="F6" s="280"/>
    </row>
    <row r="7" spans="1:7" ht="13.5" customHeight="1" thickBot="1">
      <c r="A7" s="276"/>
      <c r="B7" s="276"/>
      <c r="C7" s="281"/>
      <c r="D7" s="282"/>
      <c r="E7" s="279"/>
      <c r="F7" s="280"/>
    </row>
    <row r="8" spans="1:7" ht="13.5" customHeight="1" thickBot="1">
      <c r="A8" s="276"/>
      <c r="B8" s="276"/>
      <c r="C8" s="283" t="s">
        <v>526</v>
      </c>
      <c r="D8" s="284" t="s">
        <v>527</v>
      </c>
      <c r="E8" s="279"/>
      <c r="F8" s="280"/>
    </row>
    <row r="9" spans="1:7">
      <c r="A9" s="285"/>
      <c r="B9" s="387" t="s">
        <v>126</v>
      </c>
      <c r="C9" s="388"/>
      <c r="D9" s="389"/>
      <c r="E9" s="390">
        <f>SUM(E15:E155)</f>
        <v>2330499999.9971628</v>
      </c>
      <c r="F9" s="391">
        <f>+F12+F38+F83+F152</f>
        <v>2330499999.9971623</v>
      </c>
      <c r="G9" s="343"/>
    </row>
    <row r="10" spans="1:7" ht="13.5" thickBot="1">
      <c r="A10" s="293"/>
      <c r="B10" s="294"/>
      <c r="C10" s="295"/>
      <c r="D10" s="296"/>
      <c r="E10" s="313"/>
      <c r="F10" s="392"/>
    </row>
    <row r="11" spans="1:7" ht="13.5" hidden="1" thickBot="1">
      <c r="A11" s="344"/>
      <c r="B11" s="316"/>
      <c r="C11" s="317"/>
      <c r="D11" s="318"/>
      <c r="E11" s="319"/>
      <c r="F11" s="320"/>
    </row>
    <row r="12" spans="1:7" ht="13.5" thickBot="1">
      <c r="A12" s="299">
        <v>0</v>
      </c>
      <c r="B12" s="300" t="s">
        <v>127</v>
      </c>
      <c r="C12" s="393"/>
      <c r="D12" s="302"/>
      <c r="E12" s="303"/>
      <c r="F12" s="304">
        <f>+F14+F18+F21+F28+F32</f>
        <v>2095050359.4071624</v>
      </c>
    </row>
    <row r="13" spans="1:7">
      <c r="A13" s="305"/>
      <c r="B13" s="306"/>
      <c r="C13" s="307"/>
      <c r="D13" s="308"/>
      <c r="E13" s="309"/>
      <c r="F13" s="310"/>
    </row>
    <row r="14" spans="1:7">
      <c r="A14" s="321" t="s">
        <v>128</v>
      </c>
      <c r="B14" s="322" t="s">
        <v>129</v>
      </c>
      <c r="C14" s="394"/>
      <c r="D14" s="353"/>
      <c r="E14" s="354"/>
      <c r="F14" s="355">
        <f>SUM(F15:F16)</f>
        <v>831195140</v>
      </c>
    </row>
    <row r="15" spans="1:7" ht="63" customHeight="1">
      <c r="A15" s="344" t="s">
        <v>130</v>
      </c>
      <c r="B15" s="316" t="s">
        <v>131</v>
      </c>
      <c r="C15" s="295" t="s">
        <v>620</v>
      </c>
      <c r="D15" s="395" t="s">
        <v>621</v>
      </c>
      <c r="E15" s="313">
        <v>826195140</v>
      </c>
      <c r="F15" s="374">
        <f>+E15</f>
        <v>826195140</v>
      </c>
    </row>
    <row r="16" spans="1:7" ht="15" customHeight="1">
      <c r="A16" s="344" t="s">
        <v>138</v>
      </c>
      <c r="B16" s="316" t="s">
        <v>139</v>
      </c>
      <c r="C16" s="295" t="s">
        <v>620</v>
      </c>
      <c r="D16" s="396" t="s">
        <v>622</v>
      </c>
      <c r="E16" s="313">
        <v>5000000</v>
      </c>
      <c r="F16" s="374">
        <f>+E16</f>
        <v>5000000</v>
      </c>
    </row>
    <row r="17" spans="1:6" ht="13.5" thickBot="1">
      <c r="A17" s="344"/>
      <c r="B17" s="316"/>
      <c r="C17" s="317"/>
      <c r="D17" s="318"/>
      <c r="E17" s="319"/>
      <c r="F17" s="320"/>
    </row>
    <row r="18" spans="1:6" ht="13.5" thickBot="1">
      <c r="A18" s="299" t="s">
        <v>140</v>
      </c>
      <c r="B18" s="300" t="s">
        <v>141</v>
      </c>
      <c r="C18" s="393"/>
      <c r="D18" s="302"/>
      <c r="E18" s="303"/>
      <c r="F18" s="304">
        <f>+F19</f>
        <v>8000000</v>
      </c>
    </row>
    <row r="19" spans="1:6" ht="27.75" customHeight="1">
      <c r="A19" s="371" t="s">
        <v>142</v>
      </c>
      <c r="B19" s="306" t="s">
        <v>143</v>
      </c>
      <c r="C19" s="307" t="s">
        <v>620</v>
      </c>
      <c r="D19" s="395" t="s">
        <v>623</v>
      </c>
      <c r="E19" s="309">
        <v>8000000</v>
      </c>
      <c r="F19" s="333">
        <f>+E19</f>
        <v>8000000</v>
      </c>
    </row>
    <row r="20" spans="1:6">
      <c r="A20" s="311"/>
      <c r="B20" s="294"/>
      <c r="C20" s="295"/>
      <c r="D20" s="312"/>
      <c r="E20" s="313"/>
      <c r="F20" s="351"/>
    </row>
    <row r="21" spans="1:6">
      <c r="A21" s="321" t="s">
        <v>152</v>
      </c>
      <c r="B21" s="322" t="s">
        <v>153</v>
      </c>
      <c r="C21" s="394"/>
      <c r="D21" s="353"/>
      <c r="E21" s="354"/>
      <c r="F21" s="355">
        <f>SUM(F22:F26)</f>
        <v>917729527.22000003</v>
      </c>
    </row>
    <row r="22" spans="1:6" ht="57" customHeight="1">
      <c r="A22" s="311" t="s">
        <v>154</v>
      </c>
      <c r="B22" s="294" t="s">
        <v>155</v>
      </c>
      <c r="C22" s="307" t="s">
        <v>620</v>
      </c>
      <c r="D22" s="312" t="s">
        <v>624</v>
      </c>
      <c r="E22" s="313">
        <v>283570048</v>
      </c>
      <c r="F22" s="314">
        <f>+E22</f>
        <v>283570048</v>
      </c>
    </row>
    <row r="23" spans="1:6" ht="25.5">
      <c r="A23" s="311" t="s">
        <v>156</v>
      </c>
      <c r="B23" s="294" t="s">
        <v>157</v>
      </c>
      <c r="C23" s="307" t="s">
        <v>620</v>
      </c>
      <c r="D23" s="312" t="s">
        <v>625</v>
      </c>
      <c r="E23" s="313">
        <v>296833584</v>
      </c>
      <c r="F23" s="314">
        <f>+E23</f>
        <v>296833584</v>
      </c>
    </row>
    <row r="24" spans="1:6" ht="31.5" customHeight="1">
      <c r="A24" s="311" t="s">
        <v>158</v>
      </c>
      <c r="B24" s="294" t="s">
        <v>159</v>
      </c>
      <c r="C24" s="307" t="s">
        <v>620</v>
      </c>
      <c r="D24" s="312" t="s">
        <v>626</v>
      </c>
      <c r="E24" s="313">
        <v>134374368.22</v>
      </c>
      <c r="F24" s="314">
        <f>+E24</f>
        <v>134374368.22</v>
      </c>
    </row>
    <row r="25" spans="1:6" ht="35.25" customHeight="1">
      <c r="A25" s="311" t="s">
        <v>160</v>
      </c>
      <c r="B25" s="294" t="s">
        <v>161</v>
      </c>
      <c r="C25" s="307" t="s">
        <v>620</v>
      </c>
      <c r="D25" s="312" t="s">
        <v>627</v>
      </c>
      <c r="E25" s="313">
        <v>116247363</v>
      </c>
      <c r="F25" s="314">
        <f>+E25</f>
        <v>116247363</v>
      </c>
    </row>
    <row r="26" spans="1:6" ht="38.25">
      <c r="A26" s="311" t="s">
        <v>162</v>
      </c>
      <c r="B26" s="294" t="s">
        <v>163</v>
      </c>
      <c r="C26" s="307" t="s">
        <v>620</v>
      </c>
      <c r="D26" s="312" t="s">
        <v>628</v>
      </c>
      <c r="E26" s="313">
        <v>86704164</v>
      </c>
      <c r="F26" s="314">
        <f>+E26</f>
        <v>86704164</v>
      </c>
    </row>
    <row r="27" spans="1:6">
      <c r="A27" s="311"/>
      <c r="B27" s="294"/>
      <c r="C27" s="295"/>
      <c r="D27" s="312"/>
      <c r="E27" s="313"/>
      <c r="F27" s="351"/>
    </row>
    <row r="28" spans="1:6" ht="25.5">
      <c r="A28" s="321" t="s">
        <v>164</v>
      </c>
      <c r="B28" s="322" t="s">
        <v>165</v>
      </c>
      <c r="C28" s="394"/>
      <c r="D28" s="353"/>
      <c r="E28" s="354"/>
      <c r="F28" s="355">
        <f>SUM(F29:F30)</f>
        <v>158233862.54749995</v>
      </c>
    </row>
    <row r="29" spans="1:6" ht="27.75" customHeight="1">
      <c r="A29" s="311" t="s">
        <v>166</v>
      </c>
      <c r="B29" s="294" t="s">
        <v>167</v>
      </c>
      <c r="C29" s="307" t="s">
        <v>620</v>
      </c>
      <c r="D29" s="396" t="s">
        <v>629</v>
      </c>
      <c r="E29" s="313">
        <v>150085902.65749997</v>
      </c>
      <c r="F29" s="314">
        <f>E29</f>
        <v>150085902.65749997</v>
      </c>
    </row>
    <row r="30" spans="1:6" ht="27.75" customHeight="1">
      <c r="A30" s="311" t="s">
        <v>174</v>
      </c>
      <c r="B30" s="294" t="s">
        <v>175</v>
      </c>
      <c r="C30" s="307" t="s">
        <v>620</v>
      </c>
      <c r="D30" s="396" t="s">
        <v>630</v>
      </c>
      <c r="E30" s="313">
        <v>8147959.8899999959</v>
      </c>
      <c r="F30" s="314">
        <f>+E30</f>
        <v>8147959.8899999959</v>
      </c>
    </row>
    <row r="31" spans="1:6">
      <c r="A31" s="311"/>
      <c r="B31" s="294"/>
      <c r="C31" s="295"/>
      <c r="D31" s="312"/>
      <c r="E31" s="313"/>
      <c r="F31" s="351"/>
    </row>
    <row r="32" spans="1:6" ht="38.25">
      <c r="A32" s="321" t="s">
        <v>176</v>
      </c>
      <c r="B32" s="322" t="s">
        <v>177</v>
      </c>
      <c r="C32" s="394"/>
      <c r="D32" s="353"/>
      <c r="E32" s="354"/>
      <c r="F32" s="355">
        <f>SUM(F33:F36)</f>
        <v>179891829.63966253</v>
      </c>
    </row>
    <row r="33" spans="1:6" ht="25.5">
      <c r="A33" s="311" t="s">
        <v>178</v>
      </c>
      <c r="B33" s="294" t="s">
        <v>179</v>
      </c>
      <c r="C33" s="307" t="s">
        <v>620</v>
      </c>
      <c r="D33" s="312" t="s">
        <v>631</v>
      </c>
      <c r="E33" s="313">
        <v>84612621.947500035</v>
      </c>
      <c r="F33" s="314">
        <f>+E33</f>
        <v>84612621.947500035</v>
      </c>
    </row>
    <row r="34" spans="1:6" ht="44.25" customHeight="1">
      <c r="A34" s="311" t="s">
        <v>180</v>
      </c>
      <c r="B34" s="294" t="s">
        <v>181</v>
      </c>
      <c r="C34" s="307" t="s">
        <v>620</v>
      </c>
      <c r="D34" s="312" t="s">
        <v>632</v>
      </c>
      <c r="E34" s="313">
        <v>24152523.7615375</v>
      </c>
      <c r="F34" s="314">
        <f>+E34</f>
        <v>24152523.7615375</v>
      </c>
    </row>
    <row r="35" spans="1:6" ht="44.25" customHeight="1">
      <c r="A35" s="311" t="s">
        <v>182</v>
      </c>
      <c r="B35" s="294" t="s">
        <v>183</v>
      </c>
      <c r="C35" s="307" t="s">
        <v>620</v>
      </c>
      <c r="D35" s="312" t="s">
        <v>633</v>
      </c>
      <c r="E35" s="313">
        <v>48296797.860624999</v>
      </c>
      <c r="F35" s="314">
        <f>+E35</f>
        <v>48296797.860624999</v>
      </c>
    </row>
    <row r="36" spans="1:6" ht="39" customHeight="1">
      <c r="A36" s="311" t="s">
        <v>186</v>
      </c>
      <c r="B36" s="294" t="s">
        <v>187</v>
      </c>
      <c r="C36" s="307" t="s">
        <v>620</v>
      </c>
      <c r="D36" s="312" t="s">
        <v>634</v>
      </c>
      <c r="E36" s="313">
        <v>22829886.069999985</v>
      </c>
      <c r="F36" s="314">
        <f>+E36</f>
        <v>22829886.069999985</v>
      </c>
    </row>
    <row r="37" spans="1:6" ht="13.5" thickBot="1">
      <c r="A37" s="311"/>
      <c r="B37" s="294"/>
      <c r="C37" s="295"/>
      <c r="D37" s="312"/>
      <c r="E37" s="313"/>
      <c r="F37" s="351"/>
    </row>
    <row r="38" spans="1:6" ht="13.5" thickBot="1">
      <c r="A38" s="299">
        <v>1</v>
      </c>
      <c r="B38" s="300" t="s">
        <v>194</v>
      </c>
      <c r="C38" s="393"/>
      <c r="D38" s="302"/>
      <c r="E38" s="397"/>
      <c r="F38" s="304">
        <f>+F40+F48+F59+F65+F72+F75</f>
        <v>211147447.59</v>
      </c>
    </row>
    <row r="39" spans="1:6">
      <c r="A39" s="326"/>
      <c r="B39" s="327"/>
      <c r="C39" s="328"/>
      <c r="D39" s="329"/>
      <c r="E39" s="398"/>
      <c r="F39" s="331"/>
    </row>
    <row r="40" spans="1:6">
      <c r="A40" s="321" t="s">
        <v>207</v>
      </c>
      <c r="B40" s="322" t="s">
        <v>208</v>
      </c>
      <c r="C40" s="394"/>
      <c r="D40" s="353"/>
      <c r="E40" s="324"/>
      <c r="F40" s="355">
        <f>SUM(F41:F46)</f>
        <v>130402000</v>
      </c>
    </row>
    <row r="41" spans="1:6" ht="45" customHeight="1">
      <c r="A41" s="315" t="s">
        <v>209</v>
      </c>
      <c r="B41" s="316" t="s">
        <v>210</v>
      </c>
      <c r="C41" s="295" t="s">
        <v>539</v>
      </c>
      <c r="D41" s="312" t="s">
        <v>635</v>
      </c>
      <c r="E41" s="313">
        <v>10170000</v>
      </c>
      <c r="F41" s="314">
        <f>+E41</f>
        <v>10170000</v>
      </c>
    </row>
    <row r="42" spans="1:6" ht="45.75" customHeight="1">
      <c r="A42" s="315" t="s">
        <v>211</v>
      </c>
      <c r="B42" s="316" t="s">
        <v>212</v>
      </c>
      <c r="C42" s="295" t="s">
        <v>539</v>
      </c>
      <c r="D42" s="312" t="s">
        <v>636</v>
      </c>
      <c r="E42" s="313">
        <v>98310000</v>
      </c>
      <c r="F42" s="399">
        <f>+E42</f>
        <v>98310000</v>
      </c>
    </row>
    <row r="43" spans="1:6" ht="46.5" customHeight="1">
      <c r="A43" s="341" t="s">
        <v>213</v>
      </c>
      <c r="B43" s="294" t="s">
        <v>214</v>
      </c>
      <c r="C43" s="295" t="s">
        <v>637</v>
      </c>
      <c r="D43" s="312" t="s">
        <v>638</v>
      </c>
      <c r="E43" s="342">
        <v>678000</v>
      </c>
      <c r="F43" s="314">
        <f>+E43</f>
        <v>678000</v>
      </c>
    </row>
    <row r="44" spans="1:6" ht="54.75" customHeight="1">
      <c r="A44" s="336" t="s">
        <v>215</v>
      </c>
      <c r="B44" s="337" t="s">
        <v>216</v>
      </c>
      <c r="C44" s="295" t="s">
        <v>539</v>
      </c>
      <c r="D44" s="312" t="s">
        <v>639</v>
      </c>
      <c r="E44" s="313">
        <f>1550000+201500</f>
        <v>1751500</v>
      </c>
      <c r="F44" s="339">
        <f>+E44+E45</f>
        <v>19605500</v>
      </c>
    </row>
    <row r="45" spans="1:6" ht="46.5" customHeight="1">
      <c r="A45" s="336"/>
      <c r="B45" s="337"/>
      <c r="C45" s="295" t="s">
        <v>545</v>
      </c>
      <c r="D45" s="312" t="s">
        <v>640</v>
      </c>
      <c r="E45" s="313">
        <f>15800000+2054000</f>
        <v>17854000</v>
      </c>
      <c r="F45" s="339"/>
    </row>
    <row r="46" spans="1:6" ht="41.25" customHeight="1">
      <c r="A46" s="315" t="s">
        <v>217</v>
      </c>
      <c r="B46" s="316" t="s">
        <v>218</v>
      </c>
      <c r="C46" s="295" t="s">
        <v>539</v>
      </c>
      <c r="D46" s="312" t="s">
        <v>641</v>
      </c>
      <c r="E46" s="342">
        <v>1638500</v>
      </c>
      <c r="F46" s="314">
        <f>+E46</f>
        <v>1638500</v>
      </c>
    </row>
    <row r="47" spans="1:6" ht="13.5" thickBot="1">
      <c r="A47" s="344"/>
      <c r="B47" s="316"/>
      <c r="C47" s="317"/>
      <c r="D47" s="318"/>
      <c r="E47" s="319"/>
      <c r="F47" s="320"/>
    </row>
    <row r="48" spans="1:6" ht="13.5" thickBot="1">
      <c r="A48" s="299" t="s">
        <v>219</v>
      </c>
      <c r="B48" s="300" t="s">
        <v>220</v>
      </c>
      <c r="C48" s="393"/>
      <c r="D48" s="302"/>
      <c r="E48" s="303"/>
      <c r="F48" s="304">
        <f>SUM(F49:F57)</f>
        <v>8375000</v>
      </c>
    </row>
    <row r="49" spans="1:9" ht="72" customHeight="1">
      <c r="A49" s="400" t="s">
        <v>221</v>
      </c>
      <c r="B49" s="349" t="s">
        <v>222</v>
      </c>
      <c r="C49" s="307" t="s">
        <v>637</v>
      </c>
      <c r="D49" s="308" t="s">
        <v>642</v>
      </c>
      <c r="E49" s="313">
        <v>500000</v>
      </c>
      <c r="F49" s="350">
        <f>SUM(E49:E51)</f>
        <v>1680000</v>
      </c>
      <c r="G49" s="401">
        <f>+E49/I50</f>
        <v>0.29761904761904762</v>
      </c>
      <c r="H49" s="291">
        <f>+I51*G49</f>
        <v>50000</v>
      </c>
    </row>
    <row r="50" spans="1:9" ht="174" customHeight="1">
      <c r="A50" s="336"/>
      <c r="B50" s="337"/>
      <c r="C50" s="295" t="s">
        <v>537</v>
      </c>
      <c r="D50" s="312" t="s">
        <v>643</v>
      </c>
      <c r="E50" s="342">
        <v>1000000</v>
      </c>
      <c r="F50" s="339"/>
      <c r="G50" s="401">
        <f>+E50/I50</f>
        <v>0.59523809523809523</v>
      </c>
      <c r="H50" s="291">
        <f>+G50*I51</f>
        <v>100000</v>
      </c>
      <c r="I50" s="291">
        <v>1680000</v>
      </c>
    </row>
    <row r="51" spans="1:9" ht="97.5" customHeight="1">
      <c r="A51" s="336"/>
      <c r="B51" s="337"/>
      <c r="C51" s="295" t="s">
        <v>539</v>
      </c>
      <c r="D51" s="312" t="s">
        <v>644</v>
      </c>
      <c r="E51" s="313">
        <v>180000</v>
      </c>
      <c r="F51" s="339"/>
      <c r="G51" s="401">
        <v>0.11</v>
      </c>
      <c r="H51" s="291">
        <v>18000</v>
      </c>
      <c r="I51" s="291">
        <f>+I50*10%</f>
        <v>168000</v>
      </c>
    </row>
    <row r="52" spans="1:9" ht="82.5" customHeight="1">
      <c r="A52" s="336" t="s">
        <v>225</v>
      </c>
      <c r="B52" s="337" t="s">
        <v>226</v>
      </c>
      <c r="C52" s="295" t="s">
        <v>637</v>
      </c>
      <c r="D52" s="312" t="s">
        <v>645</v>
      </c>
      <c r="E52" s="313">
        <f>1800000-300000</f>
        <v>1500000</v>
      </c>
      <c r="F52" s="339">
        <f>SUM(E52:E54)</f>
        <v>1695000</v>
      </c>
    </row>
    <row r="53" spans="1:9" ht="114.75">
      <c r="A53" s="336"/>
      <c r="B53" s="337"/>
      <c r="C53" s="295" t="s">
        <v>541</v>
      </c>
      <c r="D53" s="312" t="s">
        <v>646</v>
      </c>
      <c r="E53" s="342">
        <v>175000</v>
      </c>
      <c r="F53" s="339"/>
    </row>
    <row r="54" spans="1:9" ht="43.5" customHeight="1">
      <c r="A54" s="336"/>
      <c r="B54" s="337"/>
      <c r="C54" s="295" t="s">
        <v>539</v>
      </c>
      <c r="D54" s="312" t="s">
        <v>647</v>
      </c>
      <c r="E54" s="313">
        <v>20000</v>
      </c>
      <c r="F54" s="339"/>
    </row>
    <row r="55" spans="1:9" ht="60.75" customHeight="1">
      <c r="A55" s="336" t="s">
        <v>233</v>
      </c>
      <c r="B55" s="337" t="s">
        <v>648</v>
      </c>
      <c r="C55" s="295" t="s">
        <v>637</v>
      </c>
      <c r="D55" s="312" t="s">
        <v>649</v>
      </c>
      <c r="E55" s="313">
        <v>805000</v>
      </c>
      <c r="F55" s="339">
        <f>SUM(E55:E57)</f>
        <v>5000000</v>
      </c>
    </row>
    <row r="56" spans="1:9" ht="57" customHeight="1">
      <c r="A56" s="336"/>
      <c r="B56" s="337"/>
      <c r="C56" s="295" t="s">
        <v>537</v>
      </c>
      <c r="D56" s="312" t="s">
        <v>650</v>
      </c>
      <c r="E56" s="342">
        <v>100000</v>
      </c>
      <c r="F56" s="339"/>
    </row>
    <row r="57" spans="1:9" ht="54" customHeight="1">
      <c r="A57" s="336"/>
      <c r="B57" s="337"/>
      <c r="C57" s="295" t="s">
        <v>545</v>
      </c>
      <c r="D57" s="312" t="s">
        <v>651</v>
      </c>
      <c r="E57" s="313">
        <v>4095000</v>
      </c>
      <c r="F57" s="339"/>
    </row>
    <row r="58" spans="1:9" ht="13.5" thickBot="1">
      <c r="A58" s="344"/>
      <c r="B58" s="316"/>
      <c r="C58" s="317"/>
      <c r="D58" s="318"/>
      <c r="E58" s="319"/>
      <c r="F58" s="320"/>
    </row>
    <row r="59" spans="1:9" ht="13.5" thickBot="1">
      <c r="A59" s="299" t="s">
        <v>235</v>
      </c>
      <c r="B59" s="300" t="s">
        <v>236</v>
      </c>
      <c r="C59" s="393"/>
      <c r="D59" s="302"/>
      <c r="E59" s="303"/>
      <c r="F59" s="304">
        <f>SUM(F60:F63)</f>
        <v>64400447.590000004</v>
      </c>
    </row>
    <row r="60" spans="1:9" ht="46.5" customHeight="1">
      <c r="A60" s="315" t="s">
        <v>243</v>
      </c>
      <c r="B60" s="316" t="s">
        <v>244</v>
      </c>
      <c r="C60" s="295" t="s">
        <v>539</v>
      </c>
      <c r="D60" s="312" t="s">
        <v>652</v>
      </c>
      <c r="E60" s="342">
        <v>1050000</v>
      </c>
      <c r="F60" s="314">
        <f>+E60</f>
        <v>1050000</v>
      </c>
    </row>
    <row r="61" spans="1:9" ht="52.5" customHeight="1">
      <c r="A61" s="341" t="s">
        <v>653</v>
      </c>
      <c r="B61" s="294" t="s">
        <v>654</v>
      </c>
      <c r="C61" s="295" t="s">
        <v>539</v>
      </c>
      <c r="D61" s="312" t="s">
        <v>655</v>
      </c>
      <c r="E61" s="313">
        <v>62700447.590000004</v>
      </c>
      <c r="F61" s="314">
        <f>+E61</f>
        <v>62700447.590000004</v>
      </c>
    </row>
    <row r="62" spans="1:9" ht="45" customHeight="1">
      <c r="A62" s="402" t="s">
        <v>249</v>
      </c>
      <c r="B62" s="335" t="s">
        <v>250</v>
      </c>
      <c r="C62" s="295" t="s">
        <v>539</v>
      </c>
      <c r="D62" s="312" t="s">
        <v>656</v>
      </c>
      <c r="E62" s="313">
        <v>50000</v>
      </c>
      <c r="F62" s="347">
        <f>SUM(E62:E63)</f>
        <v>650000</v>
      </c>
    </row>
    <row r="63" spans="1:9" ht="66" customHeight="1">
      <c r="A63" s="357"/>
      <c r="B63" s="403"/>
      <c r="C63" s="295" t="s">
        <v>550</v>
      </c>
      <c r="D63" s="312" t="s">
        <v>657</v>
      </c>
      <c r="E63" s="313">
        <v>600000</v>
      </c>
      <c r="F63" s="350"/>
    </row>
    <row r="64" spans="1:9">
      <c r="A64" s="311"/>
      <c r="B64" s="294"/>
      <c r="C64" s="295"/>
      <c r="D64" s="312"/>
      <c r="E64" s="313"/>
      <c r="F64" s="351"/>
    </row>
    <row r="65" spans="1:6">
      <c r="A65" s="321" t="s">
        <v>251</v>
      </c>
      <c r="B65" s="322" t="s">
        <v>252</v>
      </c>
      <c r="C65" s="394"/>
      <c r="D65" s="353"/>
      <c r="E65" s="354"/>
      <c r="F65" s="355">
        <f>SUM(F66:F70)</f>
        <v>885000</v>
      </c>
    </row>
    <row r="66" spans="1:6" ht="60" customHeight="1">
      <c r="A66" s="336" t="s">
        <v>253</v>
      </c>
      <c r="B66" s="337" t="s">
        <v>254</v>
      </c>
      <c r="C66" s="295" t="s">
        <v>637</v>
      </c>
      <c r="D66" s="312" t="s">
        <v>658</v>
      </c>
      <c r="E66" s="313">
        <v>100000</v>
      </c>
      <c r="F66" s="339">
        <f>SUM(E66:E68)</f>
        <v>235000</v>
      </c>
    </row>
    <row r="67" spans="1:6" ht="74.25" customHeight="1">
      <c r="A67" s="336"/>
      <c r="B67" s="337"/>
      <c r="C67" s="295" t="s">
        <v>537</v>
      </c>
      <c r="D67" s="312" t="s">
        <v>659</v>
      </c>
      <c r="E67" s="342">
        <v>90000</v>
      </c>
      <c r="F67" s="339"/>
    </row>
    <row r="68" spans="1:6" ht="47.25" customHeight="1">
      <c r="A68" s="336"/>
      <c r="B68" s="337"/>
      <c r="C68" s="295" t="s">
        <v>539</v>
      </c>
      <c r="D68" s="312" t="s">
        <v>660</v>
      </c>
      <c r="E68" s="313">
        <v>45000</v>
      </c>
      <c r="F68" s="339"/>
    </row>
    <row r="69" spans="1:6" ht="46.5" customHeight="1">
      <c r="A69" s="336" t="s">
        <v>255</v>
      </c>
      <c r="B69" s="337" t="s">
        <v>256</v>
      </c>
      <c r="C69" s="295" t="s">
        <v>637</v>
      </c>
      <c r="D69" s="312" t="s">
        <v>661</v>
      </c>
      <c r="E69" s="313">
        <v>250000</v>
      </c>
      <c r="F69" s="339">
        <f>SUM(E69:E70)</f>
        <v>650000</v>
      </c>
    </row>
    <row r="70" spans="1:6" ht="75" customHeight="1">
      <c r="A70" s="336"/>
      <c r="B70" s="337"/>
      <c r="C70" s="295" t="s">
        <v>537</v>
      </c>
      <c r="D70" s="312" t="s">
        <v>662</v>
      </c>
      <c r="E70" s="342">
        <v>400000</v>
      </c>
      <c r="F70" s="339"/>
    </row>
    <row r="71" spans="1:6" ht="13.5" thickBot="1">
      <c r="A71" s="344"/>
      <c r="B71" s="316"/>
      <c r="C71" s="317"/>
      <c r="D71" s="318"/>
      <c r="E71" s="319"/>
      <c r="F71" s="320"/>
    </row>
    <row r="72" spans="1:6" ht="26.25" thickBot="1">
      <c r="A72" s="299" t="s">
        <v>261</v>
      </c>
      <c r="B72" s="300" t="s">
        <v>262</v>
      </c>
      <c r="C72" s="393"/>
      <c r="D72" s="302"/>
      <c r="E72" s="303"/>
      <c r="F72" s="304">
        <f>SUM(F73)</f>
        <v>5000000</v>
      </c>
    </row>
    <row r="73" spans="1:6" ht="45.75" customHeight="1">
      <c r="A73" s="334" t="s">
        <v>263</v>
      </c>
      <c r="B73" s="306" t="s">
        <v>264</v>
      </c>
      <c r="C73" s="307" t="s">
        <v>539</v>
      </c>
      <c r="D73" s="308" t="s">
        <v>663</v>
      </c>
      <c r="E73" s="356">
        <v>5000000</v>
      </c>
      <c r="F73" s="333">
        <v>5000000</v>
      </c>
    </row>
    <row r="74" spans="1:6" ht="13.5" thickBot="1">
      <c r="A74" s="344"/>
      <c r="B74" s="316"/>
      <c r="C74" s="317"/>
      <c r="D74" s="318"/>
      <c r="E74" s="319"/>
      <c r="F74" s="320"/>
    </row>
    <row r="75" spans="1:6" ht="13.5" thickBot="1">
      <c r="A75" s="299" t="s">
        <v>269</v>
      </c>
      <c r="B75" s="300" t="s">
        <v>270</v>
      </c>
      <c r="C75" s="393"/>
      <c r="D75" s="302"/>
      <c r="E75" s="303"/>
      <c r="F75" s="304">
        <f>+F76</f>
        <v>2085000</v>
      </c>
    </row>
    <row r="76" spans="1:6" ht="212.25" customHeight="1">
      <c r="A76" s="357" t="s">
        <v>271</v>
      </c>
      <c r="B76" s="349" t="s">
        <v>272</v>
      </c>
      <c r="C76" s="307" t="s">
        <v>637</v>
      </c>
      <c r="D76" s="308" t="s">
        <v>664</v>
      </c>
      <c r="E76" s="313">
        <v>1035000</v>
      </c>
      <c r="F76" s="350">
        <f>SUM(E76:E81)</f>
        <v>2085000</v>
      </c>
    </row>
    <row r="77" spans="1:6" ht="34.5" customHeight="1">
      <c r="A77" s="336"/>
      <c r="B77" s="337"/>
      <c r="C77" s="295" t="s">
        <v>541</v>
      </c>
      <c r="D77" s="312" t="s">
        <v>665</v>
      </c>
      <c r="E77" s="342">
        <v>100000</v>
      </c>
      <c r="F77" s="339"/>
    </row>
    <row r="78" spans="1:6" ht="33" customHeight="1">
      <c r="A78" s="336"/>
      <c r="B78" s="337"/>
      <c r="C78" s="295" t="s">
        <v>532</v>
      </c>
      <c r="D78" s="312" t="s">
        <v>666</v>
      </c>
      <c r="E78" s="342">
        <f>200000-50000</f>
        <v>150000</v>
      </c>
      <c r="F78" s="339"/>
    </row>
    <row r="79" spans="1:6" ht="50.25" customHeight="1">
      <c r="A79" s="336"/>
      <c r="B79" s="337"/>
      <c r="C79" s="295" t="s">
        <v>537</v>
      </c>
      <c r="D79" s="312" t="s">
        <v>667</v>
      </c>
      <c r="E79" s="342">
        <v>200000</v>
      </c>
      <c r="F79" s="339"/>
    </row>
    <row r="80" spans="1:6" ht="72.75" customHeight="1">
      <c r="A80" s="336"/>
      <c r="B80" s="337"/>
      <c r="C80" s="295" t="s">
        <v>539</v>
      </c>
      <c r="D80" s="312" t="s">
        <v>668</v>
      </c>
      <c r="E80" s="313">
        <v>200000</v>
      </c>
      <c r="F80" s="339"/>
    </row>
    <row r="81" spans="1:7" ht="69.75" customHeight="1">
      <c r="A81" s="336"/>
      <c r="B81" s="337"/>
      <c r="C81" s="295" t="s">
        <v>612</v>
      </c>
      <c r="D81" s="312" t="s">
        <v>669</v>
      </c>
      <c r="E81" s="342">
        <v>400000</v>
      </c>
      <c r="F81" s="339"/>
    </row>
    <row r="82" spans="1:7" ht="13.5" thickBot="1">
      <c r="A82" s="344"/>
      <c r="B82" s="316"/>
      <c r="C82" s="317"/>
      <c r="D82" s="318"/>
      <c r="E82" s="319"/>
      <c r="F82" s="320"/>
    </row>
    <row r="83" spans="1:7" ht="13.5" thickBot="1">
      <c r="A83" s="299">
        <v>2</v>
      </c>
      <c r="B83" s="300" t="s">
        <v>321</v>
      </c>
      <c r="C83" s="393"/>
      <c r="D83" s="302"/>
      <c r="E83" s="303"/>
      <c r="F83" s="304">
        <f>+F85+F100+F104+F114+F121</f>
        <v>15902193</v>
      </c>
    </row>
    <row r="84" spans="1:7" ht="13.5" thickBot="1">
      <c r="A84" s="326"/>
      <c r="B84" s="327"/>
      <c r="C84" s="328"/>
      <c r="D84" s="329"/>
      <c r="E84" s="330"/>
      <c r="F84" s="331"/>
    </row>
    <row r="85" spans="1:7" ht="13.5" thickBot="1">
      <c r="A85" s="299" t="s">
        <v>322</v>
      </c>
      <c r="B85" s="300" t="s">
        <v>323</v>
      </c>
      <c r="C85" s="393"/>
      <c r="D85" s="302"/>
      <c r="E85" s="303"/>
      <c r="F85" s="304">
        <f>SUM(F86:F98)</f>
        <v>3240000</v>
      </c>
    </row>
    <row r="86" spans="1:7" ht="42.75" customHeight="1">
      <c r="A86" s="371" t="s">
        <v>324</v>
      </c>
      <c r="B86" s="306" t="s">
        <v>325</v>
      </c>
      <c r="C86" s="307" t="s">
        <v>539</v>
      </c>
      <c r="D86" s="308" t="s">
        <v>670</v>
      </c>
      <c r="E86" s="309">
        <f>1200000-300000</f>
        <v>900000</v>
      </c>
      <c r="F86" s="333">
        <f>SUM(E86:E86)</f>
        <v>900000</v>
      </c>
    </row>
    <row r="87" spans="1:7" ht="58.5" customHeight="1">
      <c r="A87" s="360" t="s">
        <v>326</v>
      </c>
      <c r="B87" s="337" t="s">
        <v>327</v>
      </c>
      <c r="C87" s="295" t="s">
        <v>637</v>
      </c>
      <c r="D87" s="312" t="s">
        <v>671</v>
      </c>
      <c r="E87" s="313">
        <v>350000</v>
      </c>
      <c r="F87" s="339">
        <f>SUM(E87:E89)</f>
        <v>780000</v>
      </c>
    </row>
    <row r="88" spans="1:7" ht="57.75" customHeight="1">
      <c r="A88" s="360"/>
      <c r="B88" s="337"/>
      <c r="C88" s="295" t="s">
        <v>539</v>
      </c>
      <c r="D88" s="312" t="s">
        <v>672</v>
      </c>
      <c r="E88" s="313">
        <v>350000</v>
      </c>
      <c r="F88" s="339"/>
    </row>
    <row r="89" spans="1:7" ht="60.75" customHeight="1">
      <c r="A89" s="360"/>
      <c r="B89" s="337"/>
      <c r="C89" s="295" t="s">
        <v>550</v>
      </c>
      <c r="D89" s="312" t="s">
        <v>673</v>
      </c>
      <c r="E89" s="342">
        <v>80000</v>
      </c>
      <c r="F89" s="339"/>
    </row>
    <row r="90" spans="1:7" ht="31.5" customHeight="1">
      <c r="A90" s="360" t="s">
        <v>330</v>
      </c>
      <c r="B90" s="337" t="s">
        <v>331</v>
      </c>
      <c r="C90" s="295" t="s">
        <v>637</v>
      </c>
      <c r="D90" s="312" t="s">
        <v>674</v>
      </c>
      <c r="E90" s="313">
        <v>300000</v>
      </c>
      <c r="F90" s="339">
        <f>SUM(E90:E96)</f>
        <v>1340000</v>
      </c>
      <c r="G90" s="292">
        <f>+E90/F90</f>
        <v>0.22388059701492538</v>
      </c>
    </row>
    <row r="91" spans="1:7" ht="58.5" customHeight="1">
      <c r="A91" s="360"/>
      <c r="B91" s="337"/>
      <c r="C91" s="295" t="s">
        <v>541</v>
      </c>
      <c r="D91" s="312" t="s">
        <v>675</v>
      </c>
      <c r="E91" s="342">
        <v>185000</v>
      </c>
      <c r="F91" s="339"/>
    </row>
    <row r="92" spans="1:7" ht="40.5" customHeight="1">
      <c r="A92" s="360"/>
      <c r="B92" s="337"/>
      <c r="C92" s="295" t="s">
        <v>532</v>
      </c>
      <c r="D92" s="312" t="s">
        <v>676</v>
      </c>
      <c r="E92" s="342">
        <v>160000</v>
      </c>
      <c r="F92" s="339"/>
    </row>
    <row r="93" spans="1:7" ht="43.5" customHeight="1">
      <c r="A93" s="360"/>
      <c r="B93" s="337"/>
      <c r="C93" s="295" t="s">
        <v>539</v>
      </c>
      <c r="D93" s="312" t="s">
        <v>677</v>
      </c>
      <c r="E93" s="313">
        <v>275000</v>
      </c>
      <c r="F93" s="339"/>
    </row>
    <row r="94" spans="1:7" ht="49.5" customHeight="1">
      <c r="A94" s="360"/>
      <c r="B94" s="337"/>
      <c r="C94" s="295" t="s">
        <v>550</v>
      </c>
      <c r="D94" s="312" t="s">
        <v>678</v>
      </c>
      <c r="E94" s="342">
        <v>140000</v>
      </c>
      <c r="F94" s="339"/>
    </row>
    <row r="95" spans="1:7" ht="38.25">
      <c r="A95" s="360"/>
      <c r="B95" s="337"/>
      <c r="C95" s="295" t="s">
        <v>545</v>
      </c>
      <c r="D95" s="312" t="s">
        <v>679</v>
      </c>
      <c r="E95" s="313">
        <v>130000</v>
      </c>
      <c r="F95" s="339"/>
    </row>
    <row r="96" spans="1:7" ht="46.5" customHeight="1">
      <c r="A96" s="360"/>
      <c r="B96" s="337"/>
      <c r="C96" s="295" t="s">
        <v>612</v>
      </c>
      <c r="D96" s="312" t="s">
        <v>680</v>
      </c>
      <c r="E96" s="342">
        <v>150000</v>
      </c>
      <c r="F96" s="339"/>
    </row>
    <row r="97" spans="1:6" ht="40.5" customHeight="1">
      <c r="A97" s="360" t="s">
        <v>332</v>
      </c>
      <c r="B97" s="337" t="s">
        <v>681</v>
      </c>
      <c r="C97" s="295" t="s">
        <v>539</v>
      </c>
      <c r="D97" s="312" t="s">
        <v>682</v>
      </c>
      <c r="E97" s="313">
        <v>120000</v>
      </c>
      <c r="F97" s="339">
        <v>220000</v>
      </c>
    </row>
    <row r="98" spans="1:6" ht="63.75">
      <c r="A98" s="360"/>
      <c r="B98" s="337"/>
      <c r="C98" s="295" t="s">
        <v>550</v>
      </c>
      <c r="D98" s="312" t="s">
        <v>683</v>
      </c>
      <c r="E98" s="342">
        <v>100000</v>
      </c>
      <c r="F98" s="339"/>
    </row>
    <row r="99" spans="1:6" ht="13.5" thickBot="1">
      <c r="A99" s="344"/>
      <c r="B99" s="316"/>
      <c r="C99" s="317"/>
      <c r="D99" s="318"/>
      <c r="E99" s="319"/>
      <c r="F99" s="320"/>
    </row>
    <row r="100" spans="1:6" ht="26.25" thickBot="1">
      <c r="A100" s="299" t="s">
        <v>334</v>
      </c>
      <c r="B100" s="300" t="s">
        <v>335</v>
      </c>
      <c r="C100" s="393"/>
      <c r="D100" s="302"/>
      <c r="E100" s="303"/>
      <c r="F100" s="304">
        <f>+F101</f>
        <v>250000</v>
      </c>
    </row>
    <row r="101" spans="1:6" ht="59.25" customHeight="1">
      <c r="A101" s="360" t="s">
        <v>340</v>
      </c>
      <c r="B101" s="337" t="s">
        <v>341</v>
      </c>
      <c r="C101" s="295" t="s">
        <v>637</v>
      </c>
      <c r="D101" s="312" t="s">
        <v>684</v>
      </c>
      <c r="E101" s="313">
        <v>200000</v>
      </c>
      <c r="F101" s="339">
        <f>SUM(E101:E102)</f>
        <v>250000</v>
      </c>
    </row>
    <row r="102" spans="1:6" ht="38.25">
      <c r="A102" s="360"/>
      <c r="B102" s="337"/>
      <c r="C102" s="295" t="s">
        <v>539</v>
      </c>
      <c r="D102" s="312" t="s">
        <v>685</v>
      </c>
      <c r="E102" s="313">
        <v>50000</v>
      </c>
      <c r="F102" s="339"/>
    </row>
    <row r="103" spans="1:6" ht="13.5" thickBot="1">
      <c r="A103" s="344"/>
      <c r="B103" s="404"/>
      <c r="C103" s="405"/>
      <c r="D103" s="406"/>
      <c r="E103" s="319"/>
      <c r="F103" s="320"/>
    </row>
    <row r="104" spans="1:6" ht="26.25" thickBot="1">
      <c r="A104" s="299" t="s">
        <v>344</v>
      </c>
      <c r="B104" s="300" t="s">
        <v>345</v>
      </c>
      <c r="C104" s="393"/>
      <c r="D104" s="302"/>
      <c r="E104" s="303"/>
      <c r="F104" s="304">
        <f>SUM(F105:F112)</f>
        <v>2425000</v>
      </c>
    </row>
    <row r="105" spans="1:6" ht="44.25" customHeight="1">
      <c r="A105" s="371" t="s">
        <v>346</v>
      </c>
      <c r="B105" s="306" t="s">
        <v>347</v>
      </c>
      <c r="C105" s="307" t="s">
        <v>539</v>
      </c>
      <c r="D105" s="308" t="s">
        <v>686</v>
      </c>
      <c r="E105" s="356">
        <v>350000</v>
      </c>
      <c r="F105" s="333">
        <f>+E105</f>
        <v>350000</v>
      </c>
    </row>
    <row r="106" spans="1:6" ht="66.75" customHeight="1">
      <c r="A106" s="311" t="s">
        <v>348</v>
      </c>
      <c r="B106" s="294" t="s">
        <v>349</v>
      </c>
      <c r="C106" s="295" t="s">
        <v>539</v>
      </c>
      <c r="D106" s="312" t="s">
        <v>687</v>
      </c>
      <c r="E106" s="342">
        <v>100000</v>
      </c>
      <c r="F106" s="314">
        <f>+E106</f>
        <v>100000</v>
      </c>
    </row>
    <row r="107" spans="1:6" ht="42" customHeight="1">
      <c r="A107" s="360" t="s">
        <v>350</v>
      </c>
      <c r="B107" s="337" t="s">
        <v>351</v>
      </c>
      <c r="C107" s="295" t="s">
        <v>637</v>
      </c>
      <c r="D107" s="312" t="s">
        <v>688</v>
      </c>
      <c r="E107" s="313">
        <v>50000</v>
      </c>
      <c r="F107" s="339">
        <f>SUM(E107:E108)</f>
        <v>100000</v>
      </c>
    </row>
    <row r="108" spans="1:6" ht="45.75" customHeight="1">
      <c r="A108" s="360"/>
      <c r="B108" s="337"/>
      <c r="C108" s="295" t="s">
        <v>539</v>
      </c>
      <c r="D108" s="312" t="s">
        <v>689</v>
      </c>
      <c r="E108" s="313">
        <v>50000</v>
      </c>
      <c r="F108" s="339"/>
    </row>
    <row r="109" spans="1:6" ht="51">
      <c r="A109" s="360" t="s">
        <v>352</v>
      </c>
      <c r="B109" s="337" t="s">
        <v>353</v>
      </c>
      <c r="C109" s="295" t="s">
        <v>637</v>
      </c>
      <c r="D109" s="312" t="s">
        <v>690</v>
      </c>
      <c r="E109" s="313">
        <v>400000</v>
      </c>
      <c r="F109" s="339">
        <f>SUM(E109:E110)</f>
        <v>900000</v>
      </c>
    </row>
    <row r="110" spans="1:6" ht="38.25">
      <c r="A110" s="360"/>
      <c r="B110" s="337"/>
      <c r="C110" s="295" t="s">
        <v>545</v>
      </c>
      <c r="D110" s="312" t="s">
        <v>691</v>
      </c>
      <c r="E110" s="313">
        <v>500000</v>
      </c>
      <c r="F110" s="339"/>
    </row>
    <row r="111" spans="1:6" ht="66" customHeight="1">
      <c r="A111" s="360" t="s">
        <v>356</v>
      </c>
      <c r="B111" s="337" t="s">
        <v>357</v>
      </c>
      <c r="C111" s="295" t="s">
        <v>539</v>
      </c>
      <c r="D111" s="312" t="s">
        <v>692</v>
      </c>
      <c r="E111" s="313">
        <v>175000</v>
      </c>
      <c r="F111" s="339">
        <f>SUM(E111:E112)</f>
        <v>975000</v>
      </c>
    </row>
    <row r="112" spans="1:6" ht="82.5" customHeight="1">
      <c r="A112" s="360"/>
      <c r="B112" s="337"/>
      <c r="C112" s="295" t="s">
        <v>550</v>
      </c>
      <c r="D112" s="312" t="s">
        <v>693</v>
      </c>
      <c r="E112" s="313">
        <v>800000</v>
      </c>
      <c r="F112" s="339"/>
    </row>
    <row r="113" spans="1:6" ht="13.5" thickBot="1">
      <c r="A113" s="344"/>
      <c r="B113" s="316"/>
      <c r="C113" s="317"/>
      <c r="D113" s="318"/>
      <c r="E113" s="319"/>
      <c r="F113" s="320"/>
    </row>
    <row r="114" spans="1:6" ht="26.25" thickBot="1">
      <c r="A114" s="299" t="s">
        <v>360</v>
      </c>
      <c r="B114" s="300" t="s">
        <v>361</v>
      </c>
      <c r="C114" s="393"/>
      <c r="D114" s="302"/>
      <c r="E114" s="303"/>
      <c r="F114" s="304">
        <f>SUM(F115:F119)</f>
        <v>1649085</v>
      </c>
    </row>
    <row r="115" spans="1:6" ht="43.5" customHeight="1">
      <c r="A115" s="371" t="s">
        <v>362</v>
      </c>
      <c r="B115" s="306" t="s">
        <v>363</v>
      </c>
      <c r="C115" s="307" t="s">
        <v>550</v>
      </c>
      <c r="D115" s="308" t="s">
        <v>694</v>
      </c>
      <c r="E115" s="313">
        <v>50000</v>
      </c>
      <c r="F115" s="333">
        <f>+E115</f>
        <v>50000</v>
      </c>
    </row>
    <row r="116" spans="1:6" ht="64.5" customHeight="1">
      <c r="A116" s="360" t="s">
        <v>364</v>
      </c>
      <c r="B116" s="337" t="s">
        <v>365</v>
      </c>
      <c r="C116" s="295" t="s">
        <v>637</v>
      </c>
      <c r="D116" s="312" t="s">
        <v>695</v>
      </c>
      <c r="E116" s="313">
        <v>300000</v>
      </c>
      <c r="F116" s="339">
        <f>SUM(E116:E119)</f>
        <v>1599085</v>
      </c>
    </row>
    <row r="117" spans="1:6" ht="34.5" customHeight="1">
      <c r="A117" s="360"/>
      <c r="B117" s="337"/>
      <c r="C117" s="295" t="s">
        <v>532</v>
      </c>
      <c r="D117" s="312" t="s">
        <v>696</v>
      </c>
      <c r="E117" s="342">
        <v>299085</v>
      </c>
      <c r="F117" s="339"/>
    </row>
    <row r="118" spans="1:6" ht="46.5" customHeight="1">
      <c r="A118" s="360"/>
      <c r="B118" s="337"/>
      <c r="C118" s="295" t="s">
        <v>539</v>
      </c>
      <c r="D118" s="312" t="s">
        <v>697</v>
      </c>
      <c r="E118" s="313">
        <v>300000</v>
      </c>
      <c r="F118" s="339"/>
    </row>
    <row r="119" spans="1:6" ht="86.25" customHeight="1">
      <c r="A119" s="360"/>
      <c r="B119" s="337"/>
      <c r="C119" s="295" t="s">
        <v>550</v>
      </c>
      <c r="D119" s="312" t="s">
        <v>698</v>
      </c>
      <c r="E119" s="342">
        <v>700000</v>
      </c>
      <c r="F119" s="339"/>
    </row>
    <row r="120" spans="1:6" ht="13.5" thickBot="1">
      <c r="A120" s="344"/>
      <c r="B120" s="316"/>
      <c r="C120" s="317"/>
      <c r="D120" s="318"/>
      <c r="E120" s="319"/>
      <c r="F120" s="320"/>
    </row>
    <row r="121" spans="1:6" ht="26.25" thickBot="1">
      <c r="A121" s="299" t="s">
        <v>375</v>
      </c>
      <c r="B121" s="300" t="s">
        <v>376</v>
      </c>
      <c r="C121" s="393"/>
      <c r="D121" s="302"/>
      <c r="E121" s="303"/>
      <c r="F121" s="304">
        <f>SUM(F122:F150)</f>
        <v>8338108</v>
      </c>
    </row>
    <row r="122" spans="1:6" ht="105" customHeight="1">
      <c r="A122" s="361" t="s">
        <v>377</v>
      </c>
      <c r="B122" s="349" t="s">
        <v>378</v>
      </c>
      <c r="C122" s="307" t="s">
        <v>637</v>
      </c>
      <c r="D122" s="308" t="s">
        <v>699</v>
      </c>
      <c r="E122" s="313">
        <v>150000</v>
      </c>
      <c r="F122" s="350">
        <f>SUM(E122:E127)</f>
        <v>1322000</v>
      </c>
    </row>
    <row r="123" spans="1:6" ht="108" customHeight="1">
      <c r="A123" s="360"/>
      <c r="B123" s="337"/>
      <c r="C123" s="295" t="s">
        <v>532</v>
      </c>
      <c r="D123" s="312" t="s">
        <v>700</v>
      </c>
      <c r="E123" s="358">
        <f>737000-200000</f>
        <v>537000</v>
      </c>
      <c r="F123" s="339"/>
    </row>
    <row r="124" spans="1:6" ht="76.5" customHeight="1">
      <c r="A124" s="360"/>
      <c r="B124" s="337"/>
      <c r="C124" s="295" t="s">
        <v>537</v>
      </c>
      <c r="D124" s="312" t="s">
        <v>701</v>
      </c>
      <c r="E124" s="342">
        <f>300000-100000</f>
        <v>200000</v>
      </c>
      <c r="F124" s="339"/>
    </row>
    <row r="125" spans="1:6" ht="162.75" customHeight="1">
      <c r="A125" s="360"/>
      <c r="B125" s="337"/>
      <c r="C125" s="295" t="s">
        <v>539</v>
      </c>
      <c r="D125" s="312" t="s">
        <v>702</v>
      </c>
      <c r="E125" s="313">
        <f>485000-200000</f>
        <v>285000</v>
      </c>
      <c r="F125" s="339"/>
    </row>
    <row r="126" spans="1:6" ht="84" customHeight="1">
      <c r="A126" s="360"/>
      <c r="B126" s="337"/>
      <c r="C126" s="295" t="s">
        <v>550</v>
      </c>
      <c r="D126" s="312" t="s">
        <v>703</v>
      </c>
      <c r="E126" s="342">
        <v>75000</v>
      </c>
      <c r="F126" s="339"/>
    </row>
    <row r="127" spans="1:6" ht="57" customHeight="1">
      <c r="A127" s="360"/>
      <c r="B127" s="337"/>
      <c r="C127" s="295" t="s">
        <v>612</v>
      </c>
      <c r="D127" s="312" t="s">
        <v>704</v>
      </c>
      <c r="E127" s="342">
        <v>75000</v>
      </c>
      <c r="F127" s="339"/>
    </row>
    <row r="128" spans="1:6" ht="52.5" customHeight="1">
      <c r="A128" s="360" t="s">
        <v>379</v>
      </c>
      <c r="B128" s="337" t="s">
        <v>380</v>
      </c>
      <c r="C128" s="295" t="s">
        <v>637</v>
      </c>
      <c r="D128" s="312" t="s">
        <v>705</v>
      </c>
      <c r="E128" s="313">
        <v>200000</v>
      </c>
      <c r="F128" s="339">
        <f>SUM(E128:E130)</f>
        <v>633000</v>
      </c>
    </row>
    <row r="129" spans="1:6" ht="48" customHeight="1">
      <c r="A129" s="360"/>
      <c r="B129" s="337"/>
      <c r="C129" s="295" t="s">
        <v>541</v>
      </c>
      <c r="D129" s="312" t="s">
        <v>706</v>
      </c>
      <c r="E129" s="342">
        <v>83000</v>
      </c>
      <c r="F129" s="339"/>
    </row>
    <row r="130" spans="1:6" ht="57" customHeight="1">
      <c r="A130" s="360"/>
      <c r="B130" s="337"/>
      <c r="C130" s="295" t="s">
        <v>539</v>
      </c>
      <c r="D130" s="312" t="s">
        <v>707</v>
      </c>
      <c r="E130" s="342">
        <v>350000</v>
      </c>
      <c r="F130" s="339"/>
    </row>
    <row r="131" spans="1:6" ht="213" customHeight="1">
      <c r="A131" s="360" t="s">
        <v>381</v>
      </c>
      <c r="B131" s="337" t="s">
        <v>382</v>
      </c>
      <c r="C131" s="295" t="s">
        <v>637</v>
      </c>
      <c r="D131" s="312" t="s">
        <v>708</v>
      </c>
      <c r="E131" s="313">
        <f>1000000-350000</f>
        <v>650000</v>
      </c>
      <c r="F131" s="339">
        <f>SUM(E131:E138)</f>
        <v>3843108</v>
      </c>
    </row>
    <row r="132" spans="1:6" ht="264" customHeight="1">
      <c r="A132" s="360"/>
      <c r="B132" s="337"/>
      <c r="C132" s="295" t="s">
        <v>541</v>
      </c>
      <c r="D132" s="312" t="s">
        <v>709</v>
      </c>
      <c r="E132" s="342">
        <f>300000-100000</f>
        <v>200000</v>
      </c>
      <c r="F132" s="339"/>
    </row>
    <row r="133" spans="1:6" ht="164.25" customHeight="1">
      <c r="A133" s="360"/>
      <c r="B133" s="337"/>
      <c r="C133" s="295" t="s">
        <v>532</v>
      </c>
      <c r="D133" s="312" t="s">
        <v>710</v>
      </c>
      <c r="E133" s="342">
        <f>550108-250000</f>
        <v>300108</v>
      </c>
      <c r="F133" s="339"/>
    </row>
    <row r="134" spans="1:6" ht="51">
      <c r="A134" s="360"/>
      <c r="B134" s="337"/>
      <c r="C134" s="295" t="s">
        <v>537</v>
      </c>
      <c r="D134" s="312" t="s">
        <v>711</v>
      </c>
      <c r="E134" s="342">
        <f>800000-300000</f>
        <v>500000</v>
      </c>
      <c r="F134" s="339"/>
    </row>
    <row r="135" spans="1:6" ht="168" customHeight="1">
      <c r="A135" s="360"/>
      <c r="B135" s="337"/>
      <c r="C135" s="295" t="s">
        <v>539</v>
      </c>
      <c r="D135" s="312" t="s">
        <v>712</v>
      </c>
      <c r="E135" s="313">
        <f>1573000-300000</f>
        <v>1273000</v>
      </c>
      <c r="F135" s="339"/>
    </row>
    <row r="136" spans="1:6" ht="96" customHeight="1">
      <c r="A136" s="360"/>
      <c r="B136" s="337"/>
      <c r="C136" s="295" t="s">
        <v>550</v>
      </c>
      <c r="D136" s="312" t="s">
        <v>713</v>
      </c>
      <c r="E136" s="342">
        <f>1000000-200000</f>
        <v>800000</v>
      </c>
      <c r="F136" s="339"/>
    </row>
    <row r="137" spans="1:6" ht="40.5" customHeight="1">
      <c r="A137" s="360"/>
      <c r="B137" s="337"/>
      <c r="C137" s="295" t="s">
        <v>545</v>
      </c>
      <c r="D137" s="312" t="s">
        <v>714</v>
      </c>
      <c r="E137" s="313">
        <v>70000</v>
      </c>
      <c r="F137" s="339"/>
    </row>
    <row r="138" spans="1:6" ht="35.25" customHeight="1">
      <c r="A138" s="360"/>
      <c r="B138" s="337"/>
      <c r="C138" s="295" t="s">
        <v>612</v>
      </c>
      <c r="D138" s="312" t="s">
        <v>715</v>
      </c>
      <c r="E138" s="342">
        <v>50000</v>
      </c>
      <c r="F138" s="339"/>
    </row>
    <row r="139" spans="1:6" ht="33.75" customHeight="1">
      <c r="A139" s="360" t="s">
        <v>383</v>
      </c>
      <c r="B139" s="337" t="s">
        <v>384</v>
      </c>
      <c r="C139" s="295" t="s">
        <v>532</v>
      </c>
      <c r="D139" s="312" t="s">
        <v>716</v>
      </c>
      <c r="E139" s="313">
        <v>250000</v>
      </c>
      <c r="F139" s="339">
        <f>SUM(E139:E141)</f>
        <v>1100000</v>
      </c>
    </row>
    <row r="140" spans="1:6" ht="54" customHeight="1">
      <c r="A140" s="360"/>
      <c r="B140" s="337"/>
      <c r="C140" s="295" t="s">
        <v>539</v>
      </c>
      <c r="D140" s="312" t="s">
        <v>717</v>
      </c>
      <c r="E140" s="313">
        <f>800000-200000</f>
        <v>600000</v>
      </c>
      <c r="F140" s="339"/>
    </row>
    <row r="141" spans="1:6" ht="61.5" customHeight="1">
      <c r="A141" s="360"/>
      <c r="B141" s="337"/>
      <c r="C141" s="295" t="s">
        <v>550</v>
      </c>
      <c r="D141" s="312" t="s">
        <v>718</v>
      </c>
      <c r="E141" s="342">
        <v>250000</v>
      </c>
      <c r="F141" s="339"/>
    </row>
    <row r="142" spans="1:6" ht="34.5" customHeight="1">
      <c r="A142" s="360" t="s">
        <v>385</v>
      </c>
      <c r="B142" s="337" t="s">
        <v>386</v>
      </c>
      <c r="C142" s="295" t="s">
        <v>637</v>
      </c>
      <c r="D142" s="312" t="s">
        <v>719</v>
      </c>
      <c r="E142" s="313">
        <v>25000</v>
      </c>
      <c r="F142" s="339">
        <f>SUM(E142:E144)</f>
        <v>375000</v>
      </c>
    </row>
    <row r="143" spans="1:6" ht="60.75" customHeight="1">
      <c r="A143" s="360"/>
      <c r="B143" s="337"/>
      <c r="C143" s="295" t="s">
        <v>539</v>
      </c>
      <c r="D143" s="312" t="s">
        <v>720</v>
      </c>
      <c r="E143" s="313">
        <f>500000-200000</f>
        <v>300000</v>
      </c>
      <c r="F143" s="339"/>
    </row>
    <row r="144" spans="1:6" ht="45" customHeight="1">
      <c r="A144" s="360"/>
      <c r="B144" s="337"/>
      <c r="C144" s="295" t="s">
        <v>550</v>
      </c>
      <c r="D144" s="312" t="s">
        <v>721</v>
      </c>
      <c r="E144" s="342">
        <v>50000</v>
      </c>
      <c r="F144" s="339"/>
    </row>
    <row r="145" spans="1:6" ht="76.5">
      <c r="A145" s="360" t="s">
        <v>387</v>
      </c>
      <c r="B145" s="337" t="s">
        <v>388</v>
      </c>
      <c r="C145" s="295" t="s">
        <v>637</v>
      </c>
      <c r="D145" s="312" t="s">
        <v>722</v>
      </c>
      <c r="E145" s="313">
        <f>700000-200000</f>
        <v>500000</v>
      </c>
      <c r="F145" s="339">
        <f>SUM(E145:E146)</f>
        <v>650000</v>
      </c>
    </row>
    <row r="146" spans="1:6" ht="38.25">
      <c r="A146" s="360"/>
      <c r="B146" s="337"/>
      <c r="C146" s="295" t="s">
        <v>539</v>
      </c>
      <c r="D146" s="312" t="s">
        <v>723</v>
      </c>
      <c r="E146" s="342">
        <f>250000-100000</f>
        <v>150000</v>
      </c>
      <c r="F146" s="339"/>
    </row>
    <row r="147" spans="1:6" ht="32.25" customHeight="1">
      <c r="A147" s="311" t="s">
        <v>389</v>
      </c>
      <c r="B147" s="294" t="s">
        <v>390</v>
      </c>
      <c r="C147" s="295" t="s">
        <v>637</v>
      </c>
      <c r="D147" s="312" t="s">
        <v>724</v>
      </c>
      <c r="E147" s="313">
        <v>20000</v>
      </c>
      <c r="F147" s="314">
        <f>+E147</f>
        <v>20000</v>
      </c>
    </row>
    <row r="148" spans="1:6" ht="134.25" customHeight="1">
      <c r="A148" s="360" t="s">
        <v>391</v>
      </c>
      <c r="B148" s="337" t="s">
        <v>392</v>
      </c>
      <c r="C148" s="295" t="s">
        <v>637</v>
      </c>
      <c r="D148" s="312" t="s">
        <v>725</v>
      </c>
      <c r="E148" s="313">
        <v>215000</v>
      </c>
      <c r="F148" s="339">
        <f>SUM(E148:E150)</f>
        <v>395000</v>
      </c>
    </row>
    <row r="149" spans="1:6" ht="93.75" customHeight="1">
      <c r="A149" s="360"/>
      <c r="B149" s="337"/>
      <c r="C149" s="295" t="s">
        <v>539</v>
      </c>
      <c r="D149" s="312" t="s">
        <v>726</v>
      </c>
      <c r="E149" s="313">
        <v>155000</v>
      </c>
      <c r="F149" s="339"/>
    </row>
    <row r="150" spans="1:6" ht="15.75" customHeight="1">
      <c r="A150" s="360"/>
      <c r="B150" s="337"/>
      <c r="C150" s="295" t="s">
        <v>612</v>
      </c>
      <c r="D150" s="312" t="s">
        <v>727</v>
      </c>
      <c r="E150" s="342">
        <v>25000</v>
      </c>
      <c r="F150" s="339"/>
    </row>
    <row r="151" spans="1:6" ht="13.5" thickBot="1">
      <c r="A151" s="344"/>
      <c r="B151" s="316"/>
      <c r="C151" s="317"/>
      <c r="D151" s="318"/>
      <c r="E151" s="319"/>
      <c r="F151" s="320"/>
    </row>
    <row r="152" spans="1:6" ht="13.5" thickBot="1">
      <c r="A152" s="299">
        <v>6</v>
      </c>
      <c r="B152" s="300" t="s">
        <v>67</v>
      </c>
      <c r="C152" s="393"/>
      <c r="D152" s="302"/>
      <c r="E152" s="303"/>
      <c r="F152" s="304">
        <f>+F154</f>
        <v>8400000</v>
      </c>
    </row>
    <row r="153" spans="1:6" ht="13.5" thickBot="1">
      <c r="A153" s="344"/>
      <c r="B153" s="316"/>
      <c r="C153" s="317"/>
      <c r="D153" s="318"/>
      <c r="E153" s="319"/>
      <c r="F153" s="320"/>
    </row>
    <row r="154" spans="1:6" ht="26.25" thickBot="1">
      <c r="A154" s="299" t="s">
        <v>502</v>
      </c>
      <c r="B154" s="300" t="s">
        <v>503</v>
      </c>
      <c r="C154" s="393"/>
      <c r="D154" s="302"/>
      <c r="E154" s="303"/>
      <c r="F154" s="304">
        <f>+F155</f>
        <v>8400000</v>
      </c>
    </row>
    <row r="155" spans="1:6" ht="43.5" customHeight="1">
      <c r="A155" s="371" t="s">
        <v>504</v>
      </c>
      <c r="B155" s="306" t="s">
        <v>505</v>
      </c>
      <c r="C155" s="307" t="s">
        <v>637</v>
      </c>
      <c r="D155" s="308" t="s">
        <v>728</v>
      </c>
      <c r="E155" s="313">
        <v>8400000</v>
      </c>
      <c r="F155" s="333">
        <f>+E155</f>
        <v>8400000</v>
      </c>
    </row>
    <row r="156" spans="1:6" ht="13.5" thickBot="1">
      <c r="A156" s="407"/>
      <c r="B156" s="376"/>
      <c r="C156" s="377"/>
      <c r="D156" s="378"/>
      <c r="E156" s="408"/>
      <c r="F156" s="380"/>
    </row>
  </sheetData>
  <mergeCells count="77">
    <mergeCell ref="A145:A146"/>
    <mergeCell ref="B145:B146"/>
    <mergeCell ref="F145:F146"/>
    <mergeCell ref="A148:A150"/>
    <mergeCell ref="B148:B150"/>
    <mergeCell ref="F148:F150"/>
    <mergeCell ref="A139:A141"/>
    <mergeCell ref="B139:B141"/>
    <mergeCell ref="F139:F141"/>
    <mergeCell ref="A142:A144"/>
    <mergeCell ref="B142:B144"/>
    <mergeCell ref="F142:F144"/>
    <mergeCell ref="A128:A130"/>
    <mergeCell ref="B128:B130"/>
    <mergeCell ref="F128:F130"/>
    <mergeCell ref="A131:A138"/>
    <mergeCell ref="B131:B138"/>
    <mergeCell ref="F131:F138"/>
    <mergeCell ref="A116:A119"/>
    <mergeCell ref="B116:B119"/>
    <mergeCell ref="F116:F119"/>
    <mergeCell ref="A122:A127"/>
    <mergeCell ref="B122:B127"/>
    <mergeCell ref="F122:F127"/>
    <mergeCell ref="A109:A110"/>
    <mergeCell ref="B109:B110"/>
    <mergeCell ref="F109:F110"/>
    <mergeCell ref="A111:A112"/>
    <mergeCell ref="B111:B112"/>
    <mergeCell ref="F111:F112"/>
    <mergeCell ref="A101:A102"/>
    <mergeCell ref="B101:B102"/>
    <mergeCell ref="F101:F102"/>
    <mergeCell ref="A107:A108"/>
    <mergeCell ref="B107:B108"/>
    <mergeCell ref="F107:F108"/>
    <mergeCell ref="A90:A96"/>
    <mergeCell ref="B90:B96"/>
    <mergeCell ref="F90:F96"/>
    <mergeCell ref="A97:A98"/>
    <mergeCell ref="B97:B98"/>
    <mergeCell ref="F97:F98"/>
    <mergeCell ref="A76:A81"/>
    <mergeCell ref="B76:B81"/>
    <mergeCell ref="F76:F81"/>
    <mergeCell ref="A87:A89"/>
    <mergeCell ref="B87:B89"/>
    <mergeCell ref="F87:F89"/>
    <mergeCell ref="A62:A63"/>
    <mergeCell ref="F62:F63"/>
    <mergeCell ref="A66:A68"/>
    <mergeCell ref="B66:B68"/>
    <mergeCell ref="F66:F68"/>
    <mergeCell ref="A69:A70"/>
    <mergeCell ref="B69:B70"/>
    <mergeCell ref="F69:F70"/>
    <mergeCell ref="A52:A54"/>
    <mergeCell ref="B52:B54"/>
    <mergeCell ref="F52:F54"/>
    <mergeCell ref="A55:A57"/>
    <mergeCell ref="B55:B57"/>
    <mergeCell ref="F55:F57"/>
    <mergeCell ref="A44:A45"/>
    <mergeCell ref="B44:B45"/>
    <mergeCell ref="F44:F45"/>
    <mergeCell ref="A49:A51"/>
    <mergeCell ref="B49:B51"/>
    <mergeCell ref="F49:F51"/>
    <mergeCell ref="A1:F1"/>
    <mergeCell ref="A2:F2"/>
    <mergeCell ref="A3:F3"/>
    <mergeCell ref="A4:F4"/>
    <mergeCell ref="A5:A8"/>
    <mergeCell ref="B5:B8"/>
    <mergeCell ref="C5:D7"/>
    <mergeCell ref="E5:E8"/>
    <mergeCell ref="F5:F8"/>
  </mergeCells>
  <pageMargins left="0.39370078740157483" right="0.39370078740157483" top="0.39370078740157483" bottom="0.39370078740157483" header="0.31496062992125984" footer="0.31496062992125984"/>
  <pageSetup scale="75" fitToHeight="16" orientation="landscape" r:id="rId1"/>
  <rowBreaks count="6" manualBreakCount="6">
    <brk id="31" max="5" man="1"/>
    <brk id="47" max="5" man="1"/>
    <brk id="54" max="5" man="1"/>
    <brk id="68" max="5" man="1"/>
    <brk id="120" max="5" man="1"/>
    <brk id="127"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257"/>
  <sheetViews>
    <sheetView zoomScaleNormal="100" workbookViewId="0">
      <pane xSplit="2" ySplit="7" topLeftCell="C45" activePane="bottomRight" state="frozen"/>
      <selection sqref="A1:N39"/>
      <selection pane="topRight" sqref="A1:N39"/>
      <selection pane="bottomLeft" sqref="A1:N39"/>
      <selection pane="bottomRight" sqref="A1:N39"/>
    </sheetView>
  </sheetViews>
  <sheetFormatPr baseColWidth="10" defaultRowHeight="12.75"/>
  <cols>
    <col min="1" max="1" width="8.140625" style="191" customWidth="1"/>
    <col min="2" max="2" width="47.140625" style="192" customWidth="1"/>
    <col min="3" max="3" width="23.42578125" style="193" customWidth="1"/>
    <col min="4" max="6" width="19.7109375" style="193" customWidth="1"/>
    <col min="7" max="7" width="16.85546875" bestFit="1" customWidth="1"/>
  </cols>
  <sheetData>
    <row r="1" spans="1:8" s="171" customFormat="1">
      <c r="A1" s="256" t="s">
        <v>0</v>
      </c>
      <c r="B1" s="256"/>
      <c r="C1" s="256"/>
      <c r="D1" s="256"/>
      <c r="E1" s="256"/>
      <c r="F1" s="256"/>
    </row>
    <row r="2" spans="1:8" s="171" customFormat="1">
      <c r="A2" s="256" t="s">
        <v>118</v>
      </c>
      <c r="B2" s="256"/>
      <c r="C2" s="256"/>
      <c r="D2" s="256"/>
      <c r="E2" s="256"/>
      <c r="F2" s="256"/>
    </row>
    <row r="3" spans="1:8" s="171" customFormat="1">
      <c r="A3" s="256" t="s">
        <v>518</v>
      </c>
      <c r="B3" s="256"/>
      <c r="C3" s="256"/>
      <c r="D3" s="256"/>
      <c r="E3" s="256"/>
      <c r="F3" s="256"/>
    </row>
    <row r="4" spans="1:8" s="171" customFormat="1">
      <c r="A4" s="256" t="s">
        <v>120</v>
      </c>
      <c r="B4" s="256"/>
      <c r="C4" s="256"/>
      <c r="D4" s="256"/>
      <c r="E4" s="256"/>
      <c r="F4" s="256"/>
    </row>
    <row r="5" spans="1:8" s="176" customFormat="1" ht="13.5" thickBot="1">
      <c r="A5" s="172"/>
      <c r="B5" s="173"/>
      <c r="C5" s="128">
        <f>+[3]Comparativo!D8-C8</f>
        <v>1232479706.0021439</v>
      </c>
      <c r="D5" s="174">
        <v>0.46429999999999999</v>
      </c>
      <c r="E5" s="174">
        <v>0.1249</v>
      </c>
      <c r="F5" s="174">
        <v>0.4108</v>
      </c>
      <c r="G5" s="175">
        <f>SUM(D5:F5)</f>
        <v>1</v>
      </c>
    </row>
    <row r="6" spans="1:8" ht="13.5" customHeight="1" thickBot="1">
      <c r="A6" s="249" t="s">
        <v>121</v>
      </c>
      <c r="B6" s="251" t="s">
        <v>122</v>
      </c>
      <c r="C6" s="260" t="s">
        <v>23</v>
      </c>
      <c r="D6" s="261"/>
      <c r="E6" s="261"/>
      <c r="F6" s="262"/>
    </row>
    <row r="7" spans="1:8" ht="13.5" customHeight="1" thickBot="1">
      <c r="A7" s="250"/>
      <c r="B7" s="258"/>
      <c r="C7" s="263" t="s">
        <v>124</v>
      </c>
      <c r="D7" s="177" t="s">
        <v>125</v>
      </c>
      <c r="E7" s="177" t="s">
        <v>125</v>
      </c>
      <c r="F7" s="178" t="s">
        <v>125</v>
      </c>
    </row>
    <row r="8" spans="1:8" ht="13.5" thickBot="1">
      <c r="A8" s="257"/>
      <c r="B8" s="259"/>
      <c r="C8" s="264"/>
      <c r="D8" s="179" t="s">
        <v>10</v>
      </c>
      <c r="E8" s="179" t="s">
        <v>11</v>
      </c>
      <c r="F8" s="180" t="s">
        <v>12</v>
      </c>
    </row>
    <row r="9" spans="1:8" ht="26.25" customHeight="1" thickBot="1">
      <c r="A9" s="181"/>
      <c r="B9" s="182" t="s">
        <v>126</v>
      </c>
      <c r="C9" s="183">
        <v>2330499999.9971623</v>
      </c>
      <c r="D9" s="183">
        <v>800020818.84450674</v>
      </c>
      <c r="E9" s="183">
        <v>904270498.59086514</v>
      </c>
      <c r="F9" s="184">
        <v>626208682.56179059</v>
      </c>
      <c r="G9" s="185">
        <f>SUM(D8:F9)-C8</f>
        <v>2330499999.9971623</v>
      </c>
    </row>
    <row r="10" spans="1:8">
      <c r="A10" s="144"/>
      <c r="B10" s="145"/>
      <c r="C10" s="136"/>
      <c r="D10" s="146"/>
      <c r="E10" s="146"/>
      <c r="F10" s="147"/>
    </row>
    <row r="11" spans="1:8" ht="12.75" customHeight="1">
      <c r="A11" s="150"/>
      <c r="B11" s="151"/>
      <c r="C11" s="141"/>
      <c r="D11" s="142"/>
      <c r="E11" s="142"/>
      <c r="F11" s="143"/>
    </row>
    <row r="12" spans="1:8">
      <c r="A12" s="153">
        <v>0</v>
      </c>
      <c r="B12" s="154" t="s">
        <v>127</v>
      </c>
      <c r="C12" s="148">
        <v>2095050359.4071624</v>
      </c>
      <c r="D12" s="148">
        <v>733267625.84450674</v>
      </c>
      <c r="E12" s="148">
        <v>838020143.73086512</v>
      </c>
      <c r="F12" s="149">
        <v>523762589.83179063</v>
      </c>
      <c r="H12" s="186">
        <f t="shared" ref="H12:H75" si="0">C12/$C$9</f>
        <v>0.89897033229337631</v>
      </c>
    </row>
    <row r="13" spans="1:8">
      <c r="A13" s="157"/>
      <c r="B13" s="151"/>
      <c r="C13" s="141"/>
      <c r="D13" s="141"/>
      <c r="E13" s="141"/>
      <c r="F13" s="152"/>
      <c r="H13" s="186">
        <f t="shared" si="0"/>
        <v>0</v>
      </c>
    </row>
    <row r="14" spans="1:8">
      <c r="A14" s="153" t="s">
        <v>128</v>
      </c>
      <c r="B14" s="154" t="s">
        <v>129</v>
      </c>
      <c r="C14" s="148">
        <v>831195140</v>
      </c>
      <c r="D14" s="148">
        <v>290918299</v>
      </c>
      <c r="E14" s="148">
        <v>332478056</v>
      </c>
      <c r="F14" s="149">
        <v>207798785</v>
      </c>
      <c r="H14" s="186">
        <f t="shared" si="0"/>
        <v>0.35665957519888952</v>
      </c>
    </row>
    <row r="15" spans="1:8" ht="15.75">
      <c r="A15" s="150" t="s">
        <v>130</v>
      </c>
      <c r="B15" s="151" t="s">
        <v>131</v>
      </c>
      <c r="C15" s="158">
        <v>826195140</v>
      </c>
      <c r="D15" s="142">
        <v>289168299</v>
      </c>
      <c r="E15" s="142">
        <v>330478056</v>
      </c>
      <c r="F15" s="143">
        <v>206548785</v>
      </c>
      <c r="G15" s="187" t="s">
        <v>3</v>
      </c>
      <c r="H15" s="186">
        <f t="shared" si="0"/>
        <v>0.35451411285175111</v>
      </c>
    </row>
    <row r="16" spans="1:8" ht="12.75" hidden="1" customHeight="1">
      <c r="A16" s="159" t="s">
        <v>132</v>
      </c>
      <c r="B16" s="160" t="s">
        <v>133</v>
      </c>
      <c r="C16" s="158">
        <v>0</v>
      </c>
      <c r="D16" s="142"/>
      <c r="E16" s="142"/>
      <c r="F16" s="143"/>
      <c r="G16" s="188">
        <f>+D16+E16+F16-C16</f>
        <v>0</v>
      </c>
      <c r="H16" s="186">
        <f t="shared" si="0"/>
        <v>0</v>
      </c>
    </row>
    <row r="17" spans="1:8" ht="12.75" hidden="1" customHeight="1">
      <c r="A17" s="159" t="s">
        <v>134</v>
      </c>
      <c r="B17" s="160" t="s">
        <v>135</v>
      </c>
      <c r="C17" s="158">
        <v>0</v>
      </c>
      <c r="D17" s="142"/>
      <c r="E17" s="142"/>
      <c r="F17" s="143"/>
      <c r="G17" s="188">
        <f>+D17+E17+F17-C17</f>
        <v>0</v>
      </c>
      <c r="H17" s="186">
        <f t="shared" si="0"/>
        <v>0</v>
      </c>
    </row>
    <row r="18" spans="1:8" ht="12.75" hidden="1" customHeight="1">
      <c r="A18" s="159" t="s">
        <v>136</v>
      </c>
      <c r="B18" s="160" t="s">
        <v>137</v>
      </c>
      <c r="C18" s="158">
        <v>0</v>
      </c>
      <c r="D18" s="142"/>
      <c r="E18" s="142"/>
      <c r="F18" s="143"/>
      <c r="G18" s="188">
        <f>+D18+E18+F18-C18</f>
        <v>0</v>
      </c>
      <c r="H18" s="186">
        <f t="shared" si="0"/>
        <v>0</v>
      </c>
    </row>
    <row r="19" spans="1:8">
      <c r="A19" s="150" t="s">
        <v>138</v>
      </c>
      <c r="B19" s="151" t="s">
        <v>139</v>
      </c>
      <c r="C19" s="158">
        <v>5000000</v>
      </c>
      <c r="D19" s="142">
        <v>1750000</v>
      </c>
      <c r="E19" s="142">
        <v>2000000</v>
      </c>
      <c r="F19" s="143">
        <v>1250000</v>
      </c>
      <c r="G19" s="188">
        <f>+D19+E19+F19-C19</f>
        <v>0</v>
      </c>
      <c r="H19" s="186">
        <f t="shared" si="0"/>
        <v>2.1454623471384203E-3</v>
      </c>
    </row>
    <row r="20" spans="1:8">
      <c r="A20" s="150"/>
      <c r="B20" s="151"/>
      <c r="C20" s="141"/>
      <c r="D20" s="142"/>
      <c r="E20" s="142"/>
      <c r="F20" s="143"/>
      <c r="G20" s="189"/>
      <c r="H20" s="186">
        <f t="shared" si="0"/>
        <v>0</v>
      </c>
    </row>
    <row r="21" spans="1:8">
      <c r="A21" s="153" t="s">
        <v>140</v>
      </c>
      <c r="B21" s="154" t="s">
        <v>141</v>
      </c>
      <c r="C21" s="148">
        <v>8000000</v>
      </c>
      <c r="D21" s="148">
        <v>2800000</v>
      </c>
      <c r="E21" s="148">
        <v>3200000</v>
      </c>
      <c r="F21" s="149">
        <v>2000000</v>
      </c>
      <c r="H21" s="186">
        <f t="shared" si="0"/>
        <v>3.4327397554214721E-3</v>
      </c>
    </row>
    <row r="22" spans="1:8">
      <c r="A22" s="150" t="s">
        <v>142</v>
      </c>
      <c r="B22" s="151" t="s">
        <v>143</v>
      </c>
      <c r="C22" s="158">
        <v>8000000</v>
      </c>
      <c r="D22" s="142">
        <v>2800000</v>
      </c>
      <c r="E22" s="142">
        <v>3200000</v>
      </c>
      <c r="F22" s="143">
        <v>2000000</v>
      </c>
      <c r="G22" s="188">
        <f>+D22+E22+F22-C22</f>
        <v>0</v>
      </c>
      <c r="H22" s="186">
        <f t="shared" si="0"/>
        <v>3.4327397554214721E-3</v>
      </c>
    </row>
    <row r="23" spans="1:8" ht="12.75" hidden="1" customHeight="1">
      <c r="A23" s="161" t="s">
        <v>144</v>
      </c>
      <c r="B23" s="151" t="s">
        <v>145</v>
      </c>
      <c r="C23" s="158">
        <v>0</v>
      </c>
      <c r="D23" s="142">
        <v>0</v>
      </c>
      <c r="E23" s="142">
        <v>0</v>
      </c>
      <c r="F23" s="143">
        <v>0</v>
      </c>
      <c r="G23" s="188">
        <f>+D23+E23+F23-C23</f>
        <v>0</v>
      </c>
      <c r="H23" s="186">
        <f t="shared" si="0"/>
        <v>0</v>
      </c>
    </row>
    <row r="24" spans="1:8" ht="12.75" hidden="1" customHeight="1">
      <c r="A24" s="161" t="s">
        <v>146</v>
      </c>
      <c r="B24" s="151" t="s">
        <v>147</v>
      </c>
      <c r="C24" s="158">
        <v>0</v>
      </c>
      <c r="D24" s="142"/>
      <c r="E24" s="142"/>
      <c r="F24" s="143"/>
      <c r="G24" s="188">
        <f>+D24+E24+F24-C24</f>
        <v>0</v>
      </c>
      <c r="H24" s="186">
        <f t="shared" si="0"/>
        <v>0</v>
      </c>
    </row>
    <row r="25" spans="1:8" ht="12.75" hidden="1" customHeight="1">
      <c r="A25" s="161" t="s">
        <v>148</v>
      </c>
      <c r="B25" s="151" t="s">
        <v>149</v>
      </c>
      <c r="C25" s="158">
        <v>0</v>
      </c>
      <c r="D25" s="142"/>
      <c r="E25" s="142"/>
      <c r="F25" s="143"/>
      <c r="G25" s="188">
        <f>+D25+E25+F25-C25</f>
        <v>0</v>
      </c>
      <c r="H25" s="186">
        <f t="shared" si="0"/>
        <v>0</v>
      </c>
    </row>
    <row r="26" spans="1:8" ht="12.75" hidden="1" customHeight="1">
      <c r="A26" s="150" t="s">
        <v>150</v>
      </c>
      <c r="B26" s="151" t="s">
        <v>151</v>
      </c>
      <c r="C26" s="158">
        <v>0</v>
      </c>
      <c r="D26" s="142"/>
      <c r="E26" s="142"/>
      <c r="F26" s="143"/>
      <c r="G26" s="188">
        <f>+D26+E26+F26-C26</f>
        <v>0</v>
      </c>
      <c r="H26" s="186">
        <f t="shared" si="0"/>
        <v>0</v>
      </c>
    </row>
    <row r="27" spans="1:8">
      <c r="A27" s="150"/>
      <c r="B27" s="151"/>
      <c r="C27" s="141"/>
      <c r="D27" s="142"/>
      <c r="E27" s="142"/>
      <c r="F27" s="143"/>
      <c r="H27" s="186">
        <f t="shared" si="0"/>
        <v>0</v>
      </c>
    </row>
    <row r="28" spans="1:8">
      <c r="A28" s="153" t="s">
        <v>152</v>
      </c>
      <c r="B28" s="154" t="s">
        <v>153</v>
      </c>
      <c r="C28" s="148">
        <v>917729527.22000003</v>
      </c>
      <c r="D28" s="148">
        <v>321205334.52699995</v>
      </c>
      <c r="E28" s="148">
        <v>367091810.88800001</v>
      </c>
      <c r="F28" s="149">
        <v>229432381.80500001</v>
      </c>
      <c r="H28" s="186">
        <f t="shared" si="0"/>
        <v>0.39379082910153079</v>
      </c>
    </row>
    <row r="29" spans="1:8">
      <c r="A29" s="150" t="s">
        <v>154</v>
      </c>
      <c r="B29" s="151" t="s">
        <v>155</v>
      </c>
      <c r="C29" s="158">
        <v>283570048</v>
      </c>
      <c r="D29" s="142">
        <v>99249516.799999997</v>
      </c>
      <c r="E29" s="142">
        <v>113428019.2</v>
      </c>
      <c r="F29" s="143">
        <v>70892512</v>
      </c>
      <c r="G29" s="188">
        <f>+D29+E29+F29-C29</f>
        <v>0</v>
      </c>
      <c r="H29" s="186">
        <f t="shared" si="0"/>
        <v>0.12167777215204689</v>
      </c>
    </row>
    <row r="30" spans="1:8">
      <c r="A30" s="150" t="s">
        <v>156</v>
      </c>
      <c r="B30" s="151" t="s">
        <v>157</v>
      </c>
      <c r="C30" s="158">
        <v>296833584</v>
      </c>
      <c r="D30" s="142">
        <v>103891754.39999999</v>
      </c>
      <c r="E30" s="142">
        <v>118733433.59999999</v>
      </c>
      <c r="F30" s="143">
        <v>74208396</v>
      </c>
      <c r="G30" s="188">
        <f>+D30+E30+F30-C30</f>
        <v>0</v>
      </c>
      <c r="H30" s="186">
        <f t="shared" si="0"/>
        <v>0.12736905556762987</v>
      </c>
    </row>
    <row r="31" spans="1:8">
      <c r="A31" s="150" t="s">
        <v>158</v>
      </c>
      <c r="B31" s="151" t="s">
        <v>159</v>
      </c>
      <c r="C31" s="158">
        <v>134374368.22</v>
      </c>
      <c r="D31" s="142">
        <v>47031028.876999997</v>
      </c>
      <c r="E31" s="142">
        <v>53749747.288000003</v>
      </c>
      <c r="F31" s="143">
        <v>33593592.055</v>
      </c>
      <c r="G31" s="188">
        <f>+D31+E31+F31-C31</f>
        <v>0</v>
      </c>
      <c r="H31" s="186">
        <f t="shared" si="0"/>
        <v>5.7659029487304704E-2</v>
      </c>
    </row>
    <row r="32" spans="1:8">
      <c r="A32" s="150" t="s">
        <v>160</v>
      </c>
      <c r="B32" s="151" t="s">
        <v>161</v>
      </c>
      <c r="C32" s="158">
        <v>116247363</v>
      </c>
      <c r="D32" s="142">
        <v>40686577.049999997</v>
      </c>
      <c r="E32" s="142">
        <v>46498945.200000003</v>
      </c>
      <c r="F32" s="143">
        <v>29061840.75</v>
      </c>
      <c r="G32" s="188">
        <f>+D32+E32+F32-C32</f>
        <v>0</v>
      </c>
      <c r="H32" s="186">
        <f t="shared" si="0"/>
        <v>4.9880868054126386E-2</v>
      </c>
    </row>
    <row r="33" spans="1:8">
      <c r="A33" s="150" t="s">
        <v>162</v>
      </c>
      <c r="B33" s="151" t="s">
        <v>163</v>
      </c>
      <c r="C33" s="158">
        <v>86704164</v>
      </c>
      <c r="D33" s="142">
        <v>30346457.400000002</v>
      </c>
      <c r="E33" s="142">
        <v>34681665.600000001</v>
      </c>
      <c r="F33" s="143">
        <v>21676041</v>
      </c>
      <c r="G33" s="188">
        <f>+D33+E33+F33-C33</f>
        <v>0</v>
      </c>
      <c r="H33" s="186">
        <f t="shared" si="0"/>
        <v>3.72041038404229E-2</v>
      </c>
    </row>
    <row r="34" spans="1:8">
      <c r="A34" s="150"/>
      <c r="B34" s="151"/>
      <c r="C34" s="141"/>
      <c r="D34" s="142"/>
      <c r="E34" s="142"/>
      <c r="F34" s="143"/>
      <c r="H34" s="186">
        <f t="shared" si="0"/>
        <v>0</v>
      </c>
    </row>
    <row r="35" spans="1:8" ht="25.5">
      <c r="A35" s="153" t="s">
        <v>164</v>
      </c>
      <c r="B35" s="154" t="s">
        <v>165</v>
      </c>
      <c r="C35" s="148">
        <v>158233862.54749995</v>
      </c>
      <c r="D35" s="148">
        <v>55381851.89162498</v>
      </c>
      <c r="E35" s="148">
        <v>63293545.018999994</v>
      </c>
      <c r="F35" s="149">
        <v>39558465.636874989</v>
      </c>
      <c r="H35" s="186">
        <f t="shared" si="0"/>
        <v>6.7896958827587478E-2</v>
      </c>
    </row>
    <row r="36" spans="1:8" ht="25.5">
      <c r="A36" s="150" t="s">
        <v>166</v>
      </c>
      <c r="B36" s="151" t="s">
        <v>167</v>
      </c>
      <c r="C36" s="158">
        <v>150085902.65749997</v>
      </c>
      <c r="D36" s="142">
        <v>52530065.930124983</v>
      </c>
      <c r="E36" s="142">
        <v>60034361.062999994</v>
      </c>
      <c r="F36" s="143">
        <v>37521475.664374992</v>
      </c>
      <c r="G36" s="188">
        <f>+D36+E36+F36-C36</f>
        <v>0</v>
      </c>
      <c r="H36" s="186">
        <f t="shared" si="0"/>
        <v>6.4400730597589662E-2</v>
      </c>
    </row>
    <row r="37" spans="1:8" ht="25.5" hidden="1" customHeight="1">
      <c r="A37" s="159" t="s">
        <v>168</v>
      </c>
      <c r="B37" s="160" t="s">
        <v>169</v>
      </c>
      <c r="C37" s="158">
        <v>0</v>
      </c>
      <c r="D37" s="142"/>
      <c r="E37" s="142"/>
      <c r="F37" s="143"/>
      <c r="G37" s="188">
        <f>+D37+E37+F37-C37</f>
        <v>0</v>
      </c>
      <c r="H37" s="186">
        <f t="shared" si="0"/>
        <v>0</v>
      </c>
    </row>
    <row r="38" spans="1:8" ht="25.5" hidden="1" customHeight="1">
      <c r="A38" s="159" t="s">
        <v>170</v>
      </c>
      <c r="B38" s="160" t="s">
        <v>171</v>
      </c>
      <c r="C38" s="158">
        <v>0</v>
      </c>
      <c r="D38" s="142"/>
      <c r="E38" s="142"/>
      <c r="F38" s="143"/>
      <c r="G38" s="188">
        <f>+D38+E38+F38-C38</f>
        <v>0</v>
      </c>
      <c r="H38" s="186">
        <f t="shared" si="0"/>
        <v>0</v>
      </c>
    </row>
    <row r="39" spans="1:8" ht="38.25" hidden="1" customHeight="1">
      <c r="A39" s="150" t="s">
        <v>172</v>
      </c>
      <c r="B39" s="151" t="s">
        <v>173</v>
      </c>
      <c r="C39" s="158">
        <v>0</v>
      </c>
      <c r="D39" s="142"/>
      <c r="E39" s="142"/>
      <c r="F39" s="143"/>
      <c r="G39" s="188">
        <f>+D39+E39+F39-C39</f>
        <v>0</v>
      </c>
      <c r="H39" s="186">
        <f t="shared" si="0"/>
        <v>0</v>
      </c>
    </row>
    <row r="40" spans="1:8" ht="25.5">
      <c r="A40" s="150" t="s">
        <v>174</v>
      </c>
      <c r="B40" s="151" t="s">
        <v>175</v>
      </c>
      <c r="C40" s="158">
        <v>8147959.8899999959</v>
      </c>
      <c r="D40" s="142">
        <v>2851785.9614999983</v>
      </c>
      <c r="E40" s="142">
        <v>3259183.9559999984</v>
      </c>
      <c r="F40" s="143">
        <v>2036989.972499999</v>
      </c>
      <c r="G40" s="188">
        <f>+D40+E40+F40-C40</f>
        <v>0</v>
      </c>
      <c r="H40" s="186">
        <f t="shared" si="0"/>
        <v>3.4962282299978191E-3</v>
      </c>
    </row>
    <row r="41" spans="1:8">
      <c r="A41" s="150"/>
      <c r="B41" s="151"/>
      <c r="C41" s="141"/>
      <c r="D41" s="142"/>
      <c r="E41" s="142"/>
      <c r="F41" s="143"/>
      <c r="H41" s="186">
        <f t="shared" si="0"/>
        <v>0</v>
      </c>
    </row>
    <row r="42" spans="1:8" ht="38.25">
      <c r="A42" s="153" t="s">
        <v>176</v>
      </c>
      <c r="B42" s="154" t="s">
        <v>177</v>
      </c>
      <c r="C42" s="148">
        <v>179891829.6396625</v>
      </c>
      <c r="D42" s="148">
        <v>62962140.425881878</v>
      </c>
      <c r="E42" s="148">
        <v>71956731.823865011</v>
      </c>
      <c r="F42" s="149">
        <v>44972957.38991563</v>
      </c>
      <c r="H42" s="186">
        <f t="shared" si="0"/>
        <v>7.719022940994702E-2</v>
      </c>
    </row>
    <row r="43" spans="1:8" ht="25.5">
      <c r="A43" s="150" t="s">
        <v>178</v>
      </c>
      <c r="B43" s="151" t="s">
        <v>179</v>
      </c>
      <c r="C43" s="158">
        <v>84612621.947500035</v>
      </c>
      <c r="D43" s="142">
        <v>29614417.681625009</v>
      </c>
      <c r="E43" s="142">
        <v>33845048.779000014</v>
      </c>
      <c r="F43" s="143">
        <v>21153155.486875009</v>
      </c>
      <c r="G43" s="188">
        <f>+D43+E43+F43-C43</f>
        <v>0</v>
      </c>
      <c r="H43" s="186">
        <f t="shared" si="0"/>
        <v>3.6306638896203842E-2</v>
      </c>
    </row>
    <row r="44" spans="1:8" ht="25.5">
      <c r="A44" s="150" t="s">
        <v>180</v>
      </c>
      <c r="B44" s="160" t="s">
        <v>181</v>
      </c>
      <c r="C44" s="158">
        <v>24152523.7615375</v>
      </c>
      <c r="D44" s="142">
        <v>8453383.3165381253</v>
      </c>
      <c r="E44" s="142">
        <v>9661009.5046149995</v>
      </c>
      <c r="F44" s="143">
        <v>6038130.9403843749</v>
      </c>
      <c r="G44" s="188">
        <f>+D44+E44+F44-C44</f>
        <v>0</v>
      </c>
      <c r="H44" s="186">
        <f t="shared" si="0"/>
        <v>1.0363666063748941E-2</v>
      </c>
    </row>
    <row r="45" spans="1:8">
      <c r="A45" s="150" t="s">
        <v>182</v>
      </c>
      <c r="B45" s="151" t="s">
        <v>183</v>
      </c>
      <c r="C45" s="158">
        <v>48296797.860624999</v>
      </c>
      <c r="D45" s="142">
        <v>16903879.251218747</v>
      </c>
      <c r="E45" s="142">
        <v>19318719.144250002</v>
      </c>
      <c r="F45" s="143">
        <v>12074199.46515625</v>
      </c>
      <c r="G45" s="188">
        <f>+D45+E45+F45-C45</f>
        <v>0</v>
      </c>
      <c r="H45" s="186">
        <f t="shared" si="0"/>
        <v>2.0723792259465267E-2</v>
      </c>
    </row>
    <row r="46" spans="1:8" ht="25.5" hidden="1" customHeight="1">
      <c r="A46" s="150" t="s">
        <v>184</v>
      </c>
      <c r="B46" s="151" t="s">
        <v>185</v>
      </c>
      <c r="C46" s="158">
        <v>0</v>
      </c>
      <c r="D46" s="142"/>
      <c r="E46" s="142"/>
      <c r="F46" s="143"/>
      <c r="G46" s="188">
        <f>+D46+E46+F46-C46</f>
        <v>0</v>
      </c>
      <c r="H46" s="186">
        <f t="shared" si="0"/>
        <v>0</v>
      </c>
    </row>
    <row r="47" spans="1:8" ht="25.5" customHeight="1">
      <c r="A47" s="159" t="s">
        <v>186</v>
      </c>
      <c r="B47" s="160" t="s">
        <v>187</v>
      </c>
      <c r="C47" s="158">
        <v>22829886.069999985</v>
      </c>
      <c r="D47" s="142">
        <v>7990460.1764999954</v>
      </c>
      <c r="E47" s="142">
        <v>9131954.395999996</v>
      </c>
      <c r="F47" s="143">
        <v>5707471.4974999968</v>
      </c>
      <c r="G47" s="188">
        <f>+D47+E47+F47-C47</f>
        <v>0</v>
      </c>
      <c r="H47" s="186">
        <f t="shared" si="0"/>
        <v>9.7961321905289788E-3</v>
      </c>
    </row>
    <row r="48" spans="1:8" ht="12.75" customHeight="1">
      <c r="A48" s="150"/>
      <c r="B48" s="151"/>
      <c r="C48" s="141"/>
      <c r="D48" s="142"/>
      <c r="E48" s="142"/>
      <c r="F48" s="143"/>
      <c r="H48" s="186">
        <f t="shared" si="0"/>
        <v>0</v>
      </c>
    </row>
    <row r="49" spans="1:8" ht="12.75" hidden="1" customHeight="1">
      <c r="A49" s="153" t="s">
        <v>188</v>
      </c>
      <c r="B49" s="154" t="s">
        <v>189</v>
      </c>
      <c r="C49" s="158">
        <v>0</v>
      </c>
      <c r="D49" s="158">
        <v>0</v>
      </c>
      <c r="E49" s="158">
        <v>0</v>
      </c>
      <c r="F49" s="164">
        <v>0</v>
      </c>
      <c r="H49" s="186">
        <f t="shared" si="0"/>
        <v>0</v>
      </c>
    </row>
    <row r="50" spans="1:8" ht="12.75" hidden="1" customHeight="1">
      <c r="A50" s="159" t="s">
        <v>190</v>
      </c>
      <c r="B50" s="160" t="s">
        <v>191</v>
      </c>
      <c r="C50" s="158">
        <v>0</v>
      </c>
      <c r="D50" s="142"/>
      <c r="E50" s="142"/>
      <c r="F50" s="143"/>
      <c r="H50" s="186">
        <f t="shared" si="0"/>
        <v>0</v>
      </c>
    </row>
    <row r="51" spans="1:8" ht="12.75" hidden="1" customHeight="1">
      <c r="A51" s="159" t="s">
        <v>192</v>
      </c>
      <c r="B51" s="160" t="s">
        <v>193</v>
      </c>
      <c r="C51" s="158">
        <v>0</v>
      </c>
      <c r="D51" s="142"/>
      <c r="E51" s="142"/>
      <c r="F51" s="143"/>
      <c r="H51" s="186">
        <f t="shared" si="0"/>
        <v>0</v>
      </c>
    </row>
    <row r="52" spans="1:8" ht="12.75" hidden="1" customHeight="1">
      <c r="A52" s="159"/>
      <c r="B52" s="160"/>
      <c r="C52" s="141"/>
      <c r="D52" s="142"/>
      <c r="E52" s="142"/>
      <c r="F52" s="143"/>
      <c r="H52" s="186">
        <f t="shared" si="0"/>
        <v>0</v>
      </c>
    </row>
    <row r="53" spans="1:8">
      <c r="A53" s="153">
        <v>1</v>
      </c>
      <c r="B53" s="154" t="s">
        <v>194</v>
      </c>
      <c r="C53" s="148">
        <v>211147447.59</v>
      </c>
      <c r="D53" s="148">
        <v>60930000</v>
      </c>
      <c r="E53" s="148">
        <v>57074354.859999999</v>
      </c>
      <c r="F53" s="149">
        <v>93143092.730000004</v>
      </c>
      <c r="H53" s="186">
        <f t="shared" si="0"/>
        <v>9.0601779699745588E-2</v>
      </c>
    </row>
    <row r="54" spans="1:8">
      <c r="A54" s="150"/>
      <c r="B54" s="151"/>
      <c r="C54" s="141"/>
      <c r="D54" s="142"/>
      <c r="E54" s="142"/>
      <c r="F54" s="143"/>
      <c r="H54" s="186">
        <f t="shared" si="0"/>
        <v>0</v>
      </c>
    </row>
    <row r="55" spans="1:8" ht="12.75" hidden="1" customHeight="1">
      <c r="A55" s="153" t="s">
        <v>195</v>
      </c>
      <c r="B55" s="154" t="s">
        <v>196</v>
      </c>
      <c r="C55" s="148">
        <v>0</v>
      </c>
      <c r="D55" s="148">
        <v>0</v>
      </c>
      <c r="E55" s="148">
        <v>0</v>
      </c>
      <c r="F55" s="149">
        <v>0</v>
      </c>
      <c r="H55" s="186">
        <f t="shared" si="0"/>
        <v>0</v>
      </c>
    </row>
    <row r="56" spans="1:8" ht="12.75" hidden="1" customHeight="1">
      <c r="A56" s="159" t="s">
        <v>197</v>
      </c>
      <c r="B56" s="160" t="s">
        <v>198</v>
      </c>
      <c r="C56" s="158">
        <v>0</v>
      </c>
      <c r="D56" s="142">
        <v>0</v>
      </c>
      <c r="E56" s="142">
        <v>0</v>
      </c>
      <c r="F56" s="143">
        <v>0</v>
      </c>
      <c r="G56" s="188">
        <v>25180984.550000001</v>
      </c>
      <c r="H56" s="186">
        <f t="shared" si="0"/>
        <v>0</v>
      </c>
    </row>
    <row r="57" spans="1:8" ht="12.75" hidden="1" customHeight="1">
      <c r="A57" s="150" t="s">
        <v>199</v>
      </c>
      <c r="B57" s="151" t="s">
        <v>200</v>
      </c>
      <c r="C57" s="158">
        <v>0</v>
      </c>
      <c r="D57" s="142">
        <v>0</v>
      </c>
      <c r="E57" s="142">
        <v>0</v>
      </c>
      <c r="F57" s="143">
        <v>0</v>
      </c>
      <c r="G57" s="188">
        <f>+G56*D52</f>
        <v>0</v>
      </c>
      <c r="H57" s="186">
        <f t="shared" si="0"/>
        <v>0</v>
      </c>
    </row>
    <row r="58" spans="1:8" ht="12.75" hidden="1" customHeight="1">
      <c r="A58" s="159" t="s">
        <v>201</v>
      </c>
      <c r="B58" s="160" t="s">
        <v>202</v>
      </c>
      <c r="C58" s="158">
        <v>0</v>
      </c>
      <c r="D58" s="142">
        <v>0</v>
      </c>
      <c r="E58" s="142">
        <v>0</v>
      </c>
      <c r="F58" s="143">
        <v>0</v>
      </c>
      <c r="G58" s="188">
        <f>+D58+E58+F58-C58</f>
        <v>0</v>
      </c>
      <c r="H58" s="186">
        <f t="shared" si="0"/>
        <v>0</v>
      </c>
    </row>
    <row r="59" spans="1:8" ht="25.5" hidden="1" customHeight="1">
      <c r="A59" s="159" t="s">
        <v>203</v>
      </c>
      <c r="B59" s="160" t="s">
        <v>204</v>
      </c>
      <c r="C59" s="158">
        <v>0</v>
      </c>
      <c r="D59" s="142">
        <v>0</v>
      </c>
      <c r="E59" s="142">
        <v>0</v>
      </c>
      <c r="F59" s="143">
        <v>0</v>
      </c>
      <c r="G59" s="188">
        <f>+D59+E59+F59-C59</f>
        <v>0</v>
      </c>
      <c r="H59" s="186">
        <f t="shared" si="0"/>
        <v>0</v>
      </c>
    </row>
    <row r="60" spans="1:8" ht="12.75" hidden="1" customHeight="1">
      <c r="A60" s="150" t="s">
        <v>205</v>
      </c>
      <c r="B60" s="151" t="s">
        <v>206</v>
      </c>
      <c r="C60" s="158">
        <v>0</v>
      </c>
      <c r="D60" s="142">
        <v>0</v>
      </c>
      <c r="E60" s="142">
        <v>0</v>
      </c>
      <c r="F60" s="143">
        <v>0</v>
      </c>
      <c r="G60" s="188">
        <f>+D60+E60+F60-C60</f>
        <v>0</v>
      </c>
      <c r="H60" s="186">
        <f t="shared" si="0"/>
        <v>0</v>
      </c>
    </row>
    <row r="61" spans="1:8" ht="12.75" hidden="1" customHeight="1">
      <c r="A61" s="150"/>
      <c r="B61" s="151"/>
      <c r="C61" s="141"/>
      <c r="D61" s="142"/>
      <c r="E61" s="142"/>
      <c r="F61" s="143"/>
      <c r="H61" s="186">
        <f t="shared" si="0"/>
        <v>0</v>
      </c>
    </row>
    <row r="62" spans="1:8" ht="12.75" customHeight="1">
      <c r="A62" s="153" t="s">
        <v>207</v>
      </c>
      <c r="B62" s="154" t="s">
        <v>208</v>
      </c>
      <c r="C62" s="148">
        <v>130402000</v>
      </c>
      <c r="D62" s="148">
        <v>37600000</v>
      </c>
      <c r="E62" s="148">
        <v>37550000</v>
      </c>
      <c r="F62" s="149">
        <v>55252000</v>
      </c>
      <c r="H62" s="186">
        <f t="shared" si="0"/>
        <v>5.5954516198308851E-2</v>
      </c>
    </row>
    <row r="63" spans="1:8" ht="12.75" customHeight="1">
      <c r="A63" s="150" t="s">
        <v>209</v>
      </c>
      <c r="B63" s="151" t="s">
        <v>210</v>
      </c>
      <c r="C63" s="158">
        <v>10170000</v>
      </c>
      <c r="D63" s="142">
        <v>3200000</v>
      </c>
      <c r="E63" s="142">
        <v>3200000</v>
      </c>
      <c r="F63" s="143">
        <v>3770000</v>
      </c>
      <c r="G63" s="188">
        <f>+D63+E63+F63-C63</f>
        <v>0</v>
      </c>
      <c r="H63" s="186">
        <f t="shared" si="0"/>
        <v>4.3638704140795464E-3</v>
      </c>
    </row>
    <row r="64" spans="1:8" ht="12.75" customHeight="1">
      <c r="A64" s="150" t="s">
        <v>211</v>
      </c>
      <c r="B64" s="151" t="s">
        <v>212</v>
      </c>
      <c r="C64" s="158">
        <v>98310000</v>
      </c>
      <c r="D64" s="142">
        <v>33200000</v>
      </c>
      <c r="E64" s="142">
        <v>33200000</v>
      </c>
      <c r="F64" s="143">
        <v>31910000</v>
      </c>
      <c r="G64" s="188">
        <f>+D64+E64+F64-C64</f>
        <v>0</v>
      </c>
      <c r="H64" s="186">
        <f t="shared" si="0"/>
        <v>4.2184080669435617E-2</v>
      </c>
    </row>
    <row r="65" spans="1:8" ht="12.75" customHeight="1">
      <c r="A65" s="150" t="s">
        <v>213</v>
      </c>
      <c r="B65" s="151" t="s">
        <v>214</v>
      </c>
      <c r="C65" s="158">
        <v>678000</v>
      </c>
      <c r="D65" s="142">
        <v>0</v>
      </c>
      <c r="E65" s="142">
        <v>0</v>
      </c>
      <c r="F65" s="143">
        <v>678000</v>
      </c>
      <c r="G65" s="188">
        <f>+D65+E65+F65-C65</f>
        <v>0</v>
      </c>
      <c r="H65" s="186">
        <f t="shared" si="0"/>
        <v>2.9092469427196974E-4</v>
      </c>
    </row>
    <row r="66" spans="1:8" ht="12.75" customHeight="1">
      <c r="A66" s="150" t="s">
        <v>215</v>
      </c>
      <c r="B66" s="151" t="s">
        <v>216</v>
      </c>
      <c r="C66" s="158">
        <v>19605500</v>
      </c>
      <c r="D66" s="142">
        <v>600000</v>
      </c>
      <c r="E66" s="142">
        <v>600000</v>
      </c>
      <c r="F66" s="143">
        <v>18405500</v>
      </c>
      <c r="G66" s="188">
        <f>+D66+E66+F66-C66</f>
        <v>0</v>
      </c>
      <c r="H66" s="186">
        <f t="shared" si="0"/>
        <v>8.4125724093644591E-3</v>
      </c>
    </row>
    <row r="67" spans="1:8" ht="12.75" customHeight="1">
      <c r="A67" s="150" t="s">
        <v>217</v>
      </c>
      <c r="B67" s="151" t="s">
        <v>218</v>
      </c>
      <c r="C67" s="158">
        <v>1638500</v>
      </c>
      <c r="D67" s="142">
        <v>600000</v>
      </c>
      <c r="E67" s="142">
        <v>550000</v>
      </c>
      <c r="F67" s="143">
        <v>488500</v>
      </c>
      <c r="G67" s="188">
        <f>+D67+E67+F67-C67</f>
        <v>0</v>
      </c>
      <c r="H67" s="186">
        <f t="shared" si="0"/>
        <v>7.0306801115726028E-4</v>
      </c>
    </row>
    <row r="68" spans="1:8" ht="12.75" customHeight="1">
      <c r="A68" s="150"/>
      <c r="B68" s="151"/>
      <c r="C68" s="141"/>
      <c r="D68" s="142"/>
      <c r="E68" s="142"/>
      <c r="F68" s="143"/>
      <c r="H68" s="186">
        <f t="shared" si="0"/>
        <v>0</v>
      </c>
    </row>
    <row r="69" spans="1:8" ht="25.5" customHeight="1">
      <c r="A69" s="153" t="s">
        <v>219</v>
      </c>
      <c r="B69" s="154" t="s">
        <v>220</v>
      </c>
      <c r="C69" s="148">
        <v>8375000</v>
      </c>
      <c r="D69" s="148">
        <v>2480000</v>
      </c>
      <c r="E69" s="148">
        <v>1500000</v>
      </c>
      <c r="F69" s="149">
        <v>4395000</v>
      </c>
      <c r="H69" s="186">
        <f t="shared" si="0"/>
        <v>3.5936494314568537E-3</v>
      </c>
    </row>
    <row r="70" spans="1:8" ht="12.75" customHeight="1">
      <c r="A70" s="150" t="s">
        <v>221</v>
      </c>
      <c r="B70" s="151" t="s">
        <v>222</v>
      </c>
      <c r="C70" s="158">
        <v>1680000</v>
      </c>
      <c r="D70" s="142">
        <v>0</v>
      </c>
      <c r="E70" s="142">
        <v>1500000</v>
      </c>
      <c r="F70" s="143">
        <v>180000</v>
      </c>
      <c r="G70" s="188">
        <f t="shared" ref="G70:G76" si="1">+D70+E70+F70-C70</f>
        <v>0</v>
      </c>
      <c r="H70" s="186">
        <f t="shared" si="0"/>
        <v>7.2087534863850917E-4</v>
      </c>
    </row>
    <row r="71" spans="1:8" ht="12.75" hidden="1" customHeight="1">
      <c r="A71" s="150" t="s">
        <v>223</v>
      </c>
      <c r="B71" s="151" t="s">
        <v>224</v>
      </c>
      <c r="C71" s="158">
        <v>0</v>
      </c>
      <c r="D71" s="142">
        <v>0</v>
      </c>
      <c r="E71" s="142">
        <v>0</v>
      </c>
      <c r="F71" s="143">
        <v>0</v>
      </c>
      <c r="G71" s="188">
        <f t="shared" si="1"/>
        <v>0</v>
      </c>
      <c r="H71" s="186">
        <f t="shared" si="0"/>
        <v>0</v>
      </c>
    </row>
    <row r="72" spans="1:8" ht="12.75" customHeight="1">
      <c r="A72" s="150" t="s">
        <v>225</v>
      </c>
      <c r="B72" s="151" t="s">
        <v>226</v>
      </c>
      <c r="C72" s="158">
        <v>1695000</v>
      </c>
      <c r="D72" s="142">
        <v>1575000</v>
      </c>
      <c r="E72" s="142">
        <v>0</v>
      </c>
      <c r="F72" s="143">
        <v>120000</v>
      </c>
      <c r="G72" s="188">
        <f t="shared" si="1"/>
        <v>0</v>
      </c>
      <c r="H72" s="186">
        <f t="shared" si="0"/>
        <v>7.2731173567992444E-4</v>
      </c>
    </row>
    <row r="73" spans="1:8" ht="12.75" hidden="1" customHeight="1">
      <c r="A73" s="159" t="s">
        <v>227</v>
      </c>
      <c r="B73" s="160" t="s">
        <v>228</v>
      </c>
      <c r="C73" s="158">
        <v>0</v>
      </c>
      <c r="D73" s="142">
        <v>0</v>
      </c>
      <c r="E73" s="142">
        <v>0</v>
      </c>
      <c r="F73" s="143">
        <v>0</v>
      </c>
      <c r="G73" s="188">
        <f t="shared" si="1"/>
        <v>0</v>
      </c>
      <c r="H73" s="186">
        <f t="shared" si="0"/>
        <v>0</v>
      </c>
    </row>
    <row r="74" spans="1:8" ht="12.75" hidden="1" customHeight="1">
      <c r="A74" s="150" t="s">
        <v>229</v>
      </c>
      <c r="B74" s="151" t="s">
        <v>230</v>
      </c>
      <c r="C74" s="158">
        <v>0</v>
      </c>
      <c r="D74" s="142">
        <v>0</v>
      </c>
      <c r="E74" s="142">
        <v>0</v>
      </c>
      <c r="F74" s="143">
        <v>0</v>
      </c>
      <c r="G74" s="188">
        <f t="shared" si="1"/>
        <v>0</v>
      </c>
      <c r="H74" s="186">
        <f t="shared" si="0"/>
        <v>0</v>
      </c>
    </row>
    <row r="75" spans="1:8" ht="25.5" hidden="1" customHeight="1">
      <c r="A75" s="159" t="s">
        <v>231</v>
      </c>
      <c r="B75" s="160" t="s">
        <v>232</v>
      </c>
      <c r="C75" s="158">
        <v>0</v>
      </c>
      <c r="D75" s="142">
        <v>0</v>
      </c>
      <c r="E75" s="142">
        <v>0</v>
      </c>
      <c r="F75" s="143">
        <v>0</v>
      </c>
      <c r="G75" s="188">
        <f t="shared" si="1"/>
        <v>0</v>
      </c>
      <c r="H75" s="186">
        <f t="shared" si="0"/>
        <v>0</v>
      </c>
    </row>
    <row r="76" spans="1:8">
      <c r="A76" s="159" t="s">
        <v>233</v>
      </c>
      <c r="B76" s="160" t="s">
        <v>234</v>
      </c>
      <c r="C76" s="158">
        <v>5000000</v>
      </c>
      <c r="D76" s="142">
        <v>905000</v>
      </c>
      <c r="E76" s="142">
        <v>0</v>
      </c>
      <c r="F76" s="143">
        <v>4095000</v>
      </c>
      <c r="G76" s="188">
        <f t="shared" si="1"/>
        <v>0</v>
      </c>
      <c r="H76" s="186">
        <f t="shared" ref="H76:H139" si="2">C76/$C$9</f>
        <v>2.1454623471384203E-3</v>
      </c>
    </row>
    <row r="77" spans="1:8" ht="12.75" customHeight="1">
      <c r="A77" s="150"/>
      <c r="B77" s="151"/>
      <c r="C77" s="141"/>
      <c r="D77" s="142"/>
      <c r="E77" s="142"/>
      <c r="F77" s="143"/>
      <c r="H77" s="186">
        <f t="shared" si="2"/>
        <v>0</v>
      </c>
    </row>
    <row r="78" spans="1:8" ht="12.75" customHeight="1">
      <c r="A78" s="153" t="s">
        <v>235</v>
      </c>
      <c r="B78" s="154" t="s">
        <v>236</v>
      </c>
      <c r="C78" s="148">
        <v>64400447.590000004</v>
      </c>
      <c r="D78" s="148">
        <v>20600000</v>
      </c>
      <c r="E78" s="148">
        <v>17084354.859999999</v>
      </c>
      <c r="F78" s="149">
        <v>26716092.73</v>
      </c>
      <c r="H78" s="186">
        <f t="shared" si="2"/>
        <v>2.7633747088641244E-2</v>
      </c>
    </row>
    <row r="79" spans="1:8" ht="12.75" hidden="1" customHeight="1">
      <c r="A79" s="159" t="s">
        <v>237</v>
      </c>
      <c r="B79" s="160" t="s">
        <v>238</v>
      </c>
      <c r="C79" s="158">
        <v>0</v>
      </c>
      <c r="D79" s="142">
        <v>0</v>
      </c>
      <c r="E79" s="142">
        <v>0</v>
      </c>
      <c r="F79" s="143">
        <v>0</v>
      </c>
      <c r="G79" s="188">
        <f t="shared" ref="G79:G85" si="3">+D79+E79+F79-C79</f>
        <v>0</v>
      </c>
      <c r="H79" s="186">
        <f t="shared" si="2"/>
        <v>0</v>
      </c>
    </row>
    <row r="80" spans="1:8" ht="12.75" hidden="1" customHeight="1">
      <c r="A80" s="150" t="s">
        <v>239</v>
      </c>
      <c r="B80" s="151" t="s">
        <v>240</v>
      </c>
      <c r="C80" s="158">
        <v>0</v>
      </c>
      <c r="D80" s="142">
        <v>0</v>
      </c>
      <c r="E80" s="142">
        <v>0</v>
      </c>
      <c r="F80" s="143">
        <v>0</v>
      </c>
      <c r="G80" s="188">
        <f t="shared" si="3"/>
        <v>0</v>
      </c>
      <c r="H80" s="186">
        <f t="shared" si="2"/>
        <v>0</v>
      </c>
    </row>
    <row r="81" spans="1:8" ht="12.75" hidden="1" customHeight="1">
      <c r="A81" s="150" t="s">
        <v>241</v>
      </c>
      <c r="B81" s="151" t="s">
        <v>242</v>
      </c>
      <c r="C81" s="158">
        <v>0</v>
      </c>
      <c r="D81" s="142">
        <v>0</v>
      </c>
      <c r="E81" s="142">
        <v>0</v>
      </c>
      <c r="F81" s="143">
        <v>0</v>
      </c>
      <c r="G81" s="188">
        <f t="shared" si="3"/>
        <v>0</v>
      </c>
      <c r="H81" s="186">
        <f t="shared" si="2"/>
        <v>0</v>
      </c>
    </row>
    <row r="82" spans="1:8">
      <c r="A82" s="159" t="s">
        <v>243</v>
      </c>
      <c r="B82" s="160" t="s">
        <v>244</v>
      </c>
      <c r="C82" s="158">
        <v>1050000</v>
      </c>
      <c r="D82" s="142">
        <v>0</v>
      </c>
      <c r="E82" s="142">
        <v>0</v>
      </c>
      <c r="F82" s="143">
        <v>1050000</v>
      </c>
      <c r="G82" s="188">
        <f t="shared" si="3"/>
        <v>0</v>
      </c>
      <c r="H82" s="186">
        <f t="shared" si="2"/>
        <v>4.5054709289906825E-4</v>
      </c>
    </row>
    <row r="83" spans="1:8" hidden="1">
      <c r="A83" s="150" t="s">
        <v>245</v>
      </c>
      <c r="B83" s="151" t="s">
        <v>246</v>
      </c>
      <c r="C83" s="158">
        <v>0</v>
      </c>
      <c r="D83" s="142">
        <v>0</v>
      </c>
      <c r="E83" s="142">
        <v>0</v>
      </c>
      <c r="F83" s="143">
        <v>0</v>
      </c>
      <c r="G83" s="188">
        <f t="shared" si="3"/>
        <v>0</v>
      </c>
      <c r="H83" s="186">
        <f t="shared" si="2"/>
        <v>0</v>
      </c>
    </row>
    <row r="84" spans="1:8" ht="12.75" customHeight="1">
      <c r="A84" s="150" t="s">
        <v>247</v>
      </c>
      <c r="B84" s="151" t="s">
        <v>248</v>
      </c>
      <c r="C84" s="158">
        <v>62700447.590000004</v>
      </c>
      <c r="D84" s="142">
        <v>20000000</v>
      </c>
      <c r="E84" s="142">
        <v>17084354.859999999</v>
      </c>
      <c r="F84" s="143">
        <v>25616092.73</v>
      </c>
      <c r="G84" s="188">
        <f t="shared" si="3"/>
        <v>0</v>
      </c>
      <c r="H84" s="186">
        <f t="shared" si="2"/>
        <v>2.6904289890614181E-2</v>
      </c>
    </row>
    <row r="85" spans="1:8" ht="12.75" customHeight="1">
      <c r="A85" s="150" t="s">
        <v>249</v>
      </c>
      <c r="B85" s="151" t="s">
        <v>250</v>
      </c>
      <c r="C85" s="158">
        <v>650000</v>
      </c>
      <c r="D85" s="142">
        <v>600000</v>
      </c>
      <c r="E85" s="142">
        <v>0</v>
      </c>
      <c r="F85" s="143">
        <v>50000</v>
      </c>
      <c r="G85" s="188">
        <f t="shared" si="3"/>
        <v>0</v>
      </c>
      <c r="H85" s="186">
        <f t="shared" si="2"/>
        <v>2.7891010512799463E-4</v>
      </c>
    </row>
    <row r="86" spans="1:8" ht="12.75" customHeight="1">
      <c r="A86" s="150"/>
      <c r="B86" s="151"/>
      <c r="C86" s="141"/>
      <c r="D86" s="142"/>
      <c r="E86" s="142"/>
      <c r="F86" s="143"/>
      <c r="H86" s="186">
        <f t="shared" si="2"/>
        <v>0</v>
      </c>
    </row>
    <row r="87" spans="1:8" ht="12.75" customHeight="1">
      <c r="A87" s="153" t="s">
        <v>251</v>
      </c>
      <c r="B87" s="154" t="s">
        <v>252</v>
      </c>
      <c r="C87" s="148">
        <v>885000</v>
      </c>
      <c r="D87" s="148">
        <v>0</v>
      </c>
      <c r="E87" s="148">
        <v>740000</v>
      </c>
      <c r="F87" s="149">
        <v>145000</v>
      </c>
      <c r="H87" s="186">
        <f t="shared" si="2"/>
        <v>3.7974683544350038E-4</v>
      </c>
    </row>
    <row r="88" spans="1:8" ht="12.75" customHeight="1">
      <c r="A88" s="150" t="s">
        <v>253</v>
      </c>
      <c r="B88" s="151" t="s">
        <v>254</v>
      </c>
      <c r="C88" s="158">
        <v>235000</v>
      </c>
      <c r="D88" s="142">
        <v>0</v>
      </c>
      <c r="E88" s="142">
        <v>90000</v>
      </c>
      <c r="F88" s="143">
        <v>145000</v>
      </c>
      <c r="G88" s="188">
        <f>+D88+E88+F88-C88</f>
        <v>0</v>
      </c>
      <c r="H88" s="186">
        <f t="shared" si="2"/>
        <v>1.0083673031550575E-4</v>
      </c>
    </row>
    <row r="89" spans="1:8" ht="12.75" customHeight="1">
      <c r="A89" s="150" t="s">
        <v>255</v>
      </c>
      <c r="B89" s="151" t="s">
        <v>256</v>
      </c>
      <c r="C89" s="158">
        <v>650000</v>
      </c>
      <c r="D89" s="142">
        <v>0</v>
      </c>
      <c r="E89" s="142">
        <v>650000</v>
      </c>
      <c r="F89" s="143">
        <v>0</v>
      </c>
      <c r="G89" s="188">
        <f>+D89+E89+F89-C89</f>
        <v>0</v>
      </c>
      <c r="H89" s="186">
        <f t="shared" si="2"/>
        <v>2.7891010512799463E-4</v>
      </c>
    </row>
    <row r="90" spans="1:8" ht="12.75" hidden="1" customHeight="1">
      <c r="A90" s="150" t="s">
        <v>257</v>
      </c>
      <c r="B90" s="151" t="s">
        <v>258</v>
      </c>
      <c r="C90" s="158">
        <v>0</v>
      </c>
      <c r="D90" s="142">
        <v>0</v>
      </c>
      <c r="E90" s="142">
        <v>0</v>
      </c>
      <c r="F90" s="143">
        <v>0</v>
      </c>
      <c r="G90" s="188">
        <f>+D90+E90+F90-C90</f>
        <v>0</v>
      </c>
      <c r="H90" s="186">
        <f t="shared" si="2"/>
        <v>0</v>
      </c>
    </row>
    <row r="91" spans="1:8" ht="12.75" hidden="1" customHeight="1">
      <c r="A91" s="150" t="s">
        <v>259</v>
      </c>
      <c r="B91" s="151" t="s">
        <v>260</v>
      </c>
      <c r="C91" s="158">
        <v>0</v>
      </c>
      <c r="D91" s="142">
        <v>0</v>
      </c>
      <c r="E91" s="142">
        <v>0</v>
      </c>
      <c r="F91" s="143">
        <v>0</v>
      </c>
      <c r="G91" s="188">
        <f>+D91+E91+F91-C91</f>
        <v>0</v>
      </c>
      <c r="H91" s="186">
        <f t="shared" si="2"/>
        <v>0</v>
      </c>
    </row>
    <row r="92" spans="1:8">
      <c r="A92" s="150"/>
      <c r="B92" s="151"/>
      <c r="C92" s="141"/>
      <c r="D92" s="142"/>
      <c r="E92" s="142"/>
      <c r="F92" s="143"/>
      <c r="H92" s="186">
        <f t="shared" si="2"/>
        <v>0</v>
      </c>
    </row>
    <row r="93" spans="1:8" ht="25.5">
      <c r="A93" s="153" t="s">
        <v>261</v>
      </c>
      <c r="B93" s="154" t="s">
        <v>262</v>
      </c>
      <c r="C93" s="148">
        <v>5000000</v>
      </c>
      <c r="D93" s="148">
        <v>0</v>
      </c>
      <c r="E93" s="148">
        <v>0</v>
      </c>
      <c r="F93" s="149">
        <v>5000000</v>
      </c>
      <c r="H93" s="186">
        <f t="shared" si="2"/>
        <v>2.1454623471384203E-3</v>
      </c>
    </row>
    <row r="94" spans="1:8">
      <c r="A94" s="150" t="s">
        <v>263</v>
      </c>
      <c r="B94" s="151" t="s">
        <v>264</v>
      </c>
      <c r="C94" s="158">
        <v>5000000</v>
      </c>
      <c r="D94" s="142">
        <v>0</v>
      </c>
      <c r="E94" s="142">
        <v>0</v>
      </c>
      <c r="F94" s="143">
        <v>5000000</v>
      </c>
      <c r="G94" s="188">
        <f>+D94+E94+F94-C94</f>
        <v>0</v>
      </c>
      <c r="H94" s="186">
        <f t="shared" si="2"/>
        <v>2.1454623471384203E-3</v>
      </c>
    </row>
    <row r="95" spans="1:8" ht="12.75" hidden="1" customHeight="1">
      <c r="A95" s="159" t="s">
        <v>265</v>
      </c>
      <c r="B95" s="160" t="s">
        <v>266</v>
      </c>
      <c r="C95" s="158">
        <v>0</v>
      </c>
      <c r="D95" s="142">
        <v>0</v>
      </c>
      <c r="E95" s="142">
        <v>0</v>
      </c>
      <c r="F95" s="143">
        <v>0</v>
      </c>
      <c r="G95" s="188">
        <f>+D95+E95+F95-C95</f>
        <v>0</v>
      </c>
      <c r="H95" s="186">
        <f t="shared" si="2"/>
        <v>0</v>
      </c>
    </row>
    <row r="96" spans="1:8" ht="12.75" hidden="1" customHeight="1">
      <c r="A96" s="159" t="s">
        <v>267</v>
      </c>
      <c r="B96" s="160" t="s">
        <v>268</v>
      </c>
      <c r="C96" s="158">
        <v>0</v>
      </c>
      <c r="D96" s="142">
        <v>0</v>
      </c>
      <c r="E96" s="142">
        <v>0</v>
      </c>
      <c r="F96" s="143">
        <v>0</v>
      </c>
      <c r="G96" s="188">
        <f>+D96+E96+F96-C96</f>
        <v>0</v>
      </c>
      <c r="H96" s="186">
        <f t="shared" si="2"/>
        <v>0</v>
      </c>
    </row>
    <row r="97" spans="1:8" ht="12.75" customHeight="1">
      <c r="A97" s="150"/>
      <c r="B97" s="151"/>
      <c r="C97" s="141"/>
      <c r="D97" s="142"/>
      <c r="E97" s="142"/>
      <c r="F97" s="143"/>
      <c r="H97" s="186">
        <f t="shared" si="2"/>
        <v>0</v>
      </c>
    </row>
    <row r="98" spans="1:8" ht="12.75" customHeight="1">
      <c r="A98" s="153" t="s">
        <v>269</v>
      </c>
      <c r="B98" s="154" t="s">
        <v>270</v>
      </c>
      <c r="C98" s="148">
        <v>2085000</v>
      </c>
      <c r="D98" s="148">
        <v>250000</v>
      </c>
      <c r="E98" s="148">
        <v>200000</v>
      </c>
      <c r="F98" s="149">
        <v>1635000</v>
      </c>
      <c r="H98" s="186">
        <f t="shared" si="2"/>
        <v>8.9465779875672123E-4</v>
      </c>
    </row>
    <row r="99" spans="1:8" ht="12.75" customHeight="1">
      <c r="A99" s="150" t="s">
        <v>271</v>
      </c>
      <c r="B99" s="151" t="s">
        <v>272</v>
      </c>
      <c r="C99" s="158">
        <v>2085000</v>
      </c>
      <c r="D99" s="142">
        <v>250000</v>
      </c>
      <c r="E99" s="142">
        <v>200000</v>
      </c>
      <c r="F99" s="143">
        <v>1635000</v>
      </c>
      <c r="G99" s="188">
        <f>+D99+E99+F99-C99</f>
        <v>0</v>
      </c>
      <c r="H99" s="186">
        <f t="shared" si="2"/>
        <v>8.9465779875672123E-4</v>
      </c>
    </row>
    <row r="100" spans="1:8" ht="12.75" hidden="1" customHeight="1">
      <c r="A100" s="150" t="s">
        <v>273</v>
      </c>
      <c r="B100" s="151" t="s">
        <v>274</v>
      </c>
      <c r="C100" s="158">
        <v>0</v>
      </c>
      <c r="D100" s="142">
        <v>0</v>
      </c>
      <c r="E100" s="142">
        <v>0</v>
      </c>
      <c r="F100" s="143">
        <v>0</v>
      </c>
      <c r="G100" s="188">
        <f>+D100+E100+F100-C100</f>
        <v>0</v>
      </c>
      <c r="H100" s="186">
        <f t="shared" si="2"/>
        <v>0</v>
      </c>
    </row>
    <row r="101" spans="1:8" ht="12.75" hidden="1" customHeight="1">
      <c r="A101" s="159" t="s">
        <v>275</v>
      </c>
      <c r="B101" s="160" t="s">
        <v>276</v>
      </c>
      <c r="C101" s="158">
        <v>0</v>
      </c>
      <c r="D101" s="142">
        <v>0</v>
      </c>
      <c r="E101" s="142">
        <v>0</v>
      </c>
      <c r="F101" s="143">
        <v>0</v>
      </c>
      <c r="G101" s="188">
        <f>+D101+E101+F101-C101</f>
        <v>0</v>
      </c>
      <c r="H101" s="186">
        <f t="shared" si="2"/>
        <v>0</v>
      </c>
    </row>
    <row r="102" spans="1:8" ht="12.75" hidden="1" customHeight="1">
      <c r="A102" s="150"/>
      <c r="B102" s="151"/>
      <c r="C102" s="141"/>
      <c r="D102" s="142"/>
      <c r="E102" s="142"/>
      <c r="F102" s="143"/>
      <c r="H102" s="186">
        <f t="shared" si="2"/>
        <v>0</v>
      </c>
    </row>
    <row r="103" spans="1:8" ht="12.75" hidden="1" customHeight="1">
      <c r="A103" s="153" t="s">
        <v>277</v>
      </c>
      <c r="B103" s="154" t="s">
        <v>278</v>
      </c>
      <c r="C103" s="148">
        <v>0</v>
      </c>
      <c r="D103" s="148">
        <v>0</v>
      </c>
      <c r="E103" s="148">
        <v>0</v>
      </c>
      <c r="F103" s="149">
        <v>0</v>
      </c>
      <c r="H103" s="186">
        <f t="shared" si="2"/>
        <v>0</v>
      </c>
    </row>
    <row r="104" spans="1:8" ht="12.75" hidden="1" customHeight="1">
      <c r="A104" s="150" t="s">
        <v>279</v>
      </c>
      <c r="B104" s="151" t="s">
        <v>280</v>
      </c>
      <c r="C104" s="158">
        <v>0</v>
      </c>
      <c r="D104" s="142">
        <v>0</v>
      </c>
      <c r="E104" s="142">
        <v>0</v>
      </c>
      <c r="F104" s="143">
        <v>0</v>
      </c>
      <c r="H104" s="186">
        <f t="shared" si="2"/>
        <v>0</v>
      </c>
    </row>
    <row r="105" spans="1:8" ht="12.75" hidden="1" customHeight="1">
      <c r="A105" s="159" t="s">
        <v>281</v>
      </c>
      <c r="B105" s="160" t="s">
        <v>282</v>
      </c>
      <c r="C105" s="158">
        <v>0</v>
      </c>
      <c r="D105" s="142">
        <v>0</v>
      </c>
      <c r="E105" s="142">
        <v>0</v>
      </c>
      <c r="F105" s="143">
        <v>0</v>
      </c>
      <c r="G105" s="188">
        <f t="shared" ref="G105:G112" si="4">+D105+E105+F105-C105</f>
        <v>0</v>
      </c>
      <c r="H105" s="186">
        <f t="shared" si="2"/>
        <v>0</v>
      </c>
    </row>
    <row r="106" spans="1:8" ht="25.5" hidden="1" customHeight="1">
      <c r="A106" s="150" t="s">
        <v>283</v>
      </c>
      <c r="B106" s="151" t="s">
        <v>284</v>
      </c>
      <c r="C106" s="158">
        <v>0</v>
      </c>
      <c r="D106" s="142">
        <v>0</v>
      </c>
      <c r="E106" s="142">
        <v>0</v>
      </c>
      <c r="F106" s="143">
        <v>0</v>
      </c>
      <c r="G106" s="188">
        <f t="shared" si="4"/>
        <v>0</v>
      </c>
      <c r="H106" s="186">
        <f t="shared" si="2"/>
        <v>0</v>
      </c>
    </row>
    <row r="107" spans="1:8" ht="25.5" hidden="1">
      <c r="A107" s="150" t="s">
        <v>285</v>
      </c>
      <c r="B107" s="151" t="s">
        <v>286</v>
      </c>
      <c r="C107" s="158">
        <v>0</v>
      </c>
      <c r="D107" s="142">
        <v>0</v>
      </c>
      <c r="E107" s="142">
        <v>0</v>
      </c>
      <c r="F107" s="143">
        <v>0</v>
      </c>
      <c r="G107" s="188">
        <f t="shared" si="4"/>
        <v>0</v>
      </c>
      <c r="H107" s="186">
        <f t="shared" si="2"/>
        <v>0</v>
      </c>
    </row>
    <row r="108" spans="1:8" ht="12.75" hidden="1" customHeight="1">
      <c r="A108" s="150" t="s">
        <v>287</v>
      </c>
      <c r="B108" s="151" t="s">
        <v>288</v>
      </c>
      <c r="C108" s="158">
        <v>0</v>
      </c>
      <c r="D108" s="142">
        <v>0</v>
      </c>
      <c r="E108" s="142">
        <v>0</v>
      </c>
      <c r="F108" s="143">
        <v>0</v>
      </c>
      <c r="G108" s="188">
        <f t="shared" si="4"/>
        <v>0</v>
      </c>
      <c r="H108" s="186">
        <f t="shared" si="2"/>
        <v>0</v>
      </c>
    </row>
    <row r="109" spans="1:8" ht="18" hidden="1" customHeight="1">
      <c r="A109" s="150" t="s">
        <v>289</v>
      </c>
      <c r="B109" s="151" t="s">
        <v>290</v>
      </c>
      <c r="C109" s="158">
        <v>0</v>
      </c>
      <c r="D109" s="142">
        <v>0</v>
      </c>
      <c r="E109" s="142">
        <v>0</v>
      </c>
      <c r="F109" s="143">
        <v>0</v>
      </c>
      <c r="G109" s="188">
        <f t="shared" si="4"/>
        <v>0</v>
      </c>
      <c r="H109" s="186">
        <f t="shared" si="2"/>
        <v>0</v>
      </c>
    </row>
    <row r="110" spans="1:8" ht="25.5" hidden="1">
      <c r="A110" s="150" t="s">
        <v>291</v>
      </c>
      <c r="B110" s="151" t="s">
        <v>292</v>
      </c>
      <c r="C110" s="158">
        <v>0</v>
      </c>
      <c r="D110" s="142">
        <v>0</v>
      </c>
      <c r="E110" s="142">
        <v>0</v>
      </c>
      <c r="F110" s="143">
        <v>0</v>
      </c>
      <c r="G110" s="188">
        <f t="shared" si="4"/>
        <v>0</v>
      </c>
      <c r="H110" s="186">
        <f t="shared" si="2"/>
        <v>0</v>
      </c>
    </row>
    <row r="111" spans="1:8" ht="25.5" hidden="1" customHeight="1">
      <c r="A111" s="150" t="s">
        <v>293</v>
      </c>
      <c r="B111" s="151" t="s">
        <v>294</v>
      </c>
      <c r="C111" s="158">
        <v>0</v>
      </c>
      <c r="D111" s="142">
        <v>0</v>
      </c>
      <c r="E111" s="142">
        <v>0</v>
      </c>
      <c r="F111" s="143">
        <v>0</v>
      </c>
      <c r="G111" s="188">
        <f t="shared" si="4"/>
        <v>0</v>
      </c>
      <c r="H111" s="186">
        <f t="shared" si="2"/>
        <v>0</v>
      </c>
    </row>
    <row r="112" spans="1:8" hidden="1">
      <c r="A112" s="150" t="s">
        <v>295</v>
      </c>
      <c r="B112" s="151" t="s">
        <v>296</v>
      </c>
      <c r="C112" s="158">
        <v>0</v>
      </c>
      <c r="D112" s="142">
        <v>0</v>
      </c>
      <c r="E112" s="142">
        <v>0</v>
      </c>
      <c r="F112" s="143">
        <v>0</v>
      </c>
      <c r="G112" s="188">
        <f t="shared" si="4"/>
        <v>0</v>
      </c>
      <c r="H112" s="186">
        <f t="shared" si="2"/>
        <v>0</v>
      </c>
    </row>
    <row r="113" spans="1:8" ht="12.75" hidden="1" customHeight="1">
      <c r="A113" s="150"/>
      <c r="B113" s="151"/>
      <c r="C113" s="141"/>
      <c r="D113" s="142"/>
      <c r="E113" s="142"/>
      <c r="F113" s="143"/>
      <c r="H113" s="186">
        <f t="shared" si="2"/>
        <v>0</v>
      </c>
    </row>
    <row r="114" spans="1:8" ht="12.75" hidden="1" customHeight="1">
      <c r="A114" s="153" t="s">
        <v>297</v>
      </c>
      <c r="B114" s="154" t="s">
        <v>298</v>
      </c>
      <c r="C114" s="148">
        <v>0</v>
      </c>
      <c r="D114" s="148">
        <v>0</v>
      </c>
      <c r="E114" s="148">
        <v>0</v>
      </c>
      <c r="F114" s="149">
        <v>0</v>
      </c>
      <c r="H114" s="186">
        <f t="shared" si="2"/>
        <v>0</v>
      </c>
    </row>
    <row r="115" spans="1:8" ht="12.75" hidden="1" customHeight="1">
      <c r="A115" s="159" t="s">
        <v>299</v>
      </c>
      <c r="B115" s="160" t="s">
        <v>300</v>
      </c>
      <c r="C115" s="158">
        <v>0</v>
      </c>
      <c r="D115" s="142">
        <v>0</v>
      </c>
      <c r="E115" s="142">
        <v>0</v>
      </c>
      <c r="F115" s="143">
        <v>0</v>
      </c>
      <c r="G115" s="188">
        <f>+D115+E115+F115-C115</f>
        <v>0</v>
      </c>
      <c r="H115" s="186">
        <f t="shared" si="2"/>
        <v>0</v>
      </c>
    </row>
    <row r="116" spans="1:8" ht="12.75" hidden="1" customHeight="1">
      <c r="A116" s="159" t="s">
        <v>301</v>
      </c>
      <c r="B116" s="160" t="s">
        <v>302</v>
      </c>
      <c r="C116" s="158">
        <v>0</v>
      </c>
      <c r="D116" s="142">
        <v>0</v>
      </c>
      <c r="E116" s="142">
        <v>0</v>
      </c>
      <c r="F116" s="143">
        <v>0</v>
      </c>
      <c r="G116" s="188">
        <f>+D116+E116+F116-C116</f>
        <v>0</v>
      </c>
      <c r="H116" s="186">
        <f t="shared" si="2"/>
        <v>0</v>
      </c>
    </row>
    <row r="117" spans="1:8" ht="12.75" hidden="1" customHeight="1">
      <c r="A117" s="159" t="s">
        <v>303</v>
      </c>
      <c r="B117" s="160" t="s">
        <v>304</v>
      </c>
      <c r="C117" s="158">
        <v>0</v>
      </c>
      <c r="D117" s="142">
        <v>0</v>
      </c>
      <c r="E117" s="142">
        <v>0</v>
      </c>
      <c r="F117" s="143">
        <v>0</v>
      </c>
      <c r="G117" s="188">
        <f>+D117+E117+F117-C117</f>
        <v>0</v>
      </c>
      <c r="H117" s="186">
        <f t="shared" si="2"/>
        <v>0</v>
      </c>
    </row>
    <row r="118" spans="1:8" ht="12.75" hidden="1" customHeight="1">
      <c r="A118" s="150" t="s">
        <v>305</v>
      </c>
      <c r="B118" s="151" t="s">
        <v>306</v>
      </c>
      <c r="C118" s="158">
        <v>0</v>
      </c>
      <c r="D118" s="142">
        <v>0</v>
      </c>
      <c r="E118" s="142">
        <v>0</v>
      </c>
      <c r="F118" s="143">
        <v>0</v>
      </c>
      <c r="G118" s="188">
        <f>+D118+E118+F118-C118</f>
        <v>0</v>
      </c>
      <c r="H118" s="186">
        <f t="shared" si="2"/>
        <v>0</v>
      </c>
    </row>
    <row r="119" spans="1:8" ht="12.75" hidden="1" customHeight="1">
      <c r="A119" s="150"/>
      <c r="B119" s="151"/>
      <c r="C119" s="141"/>
      <c r="D119" s="142"/>
      <c r="E119" s="142"/>
      <c r="F119" s="143"/>
      <c r="H119" s="186">
        <f t="shared" si="2"/>
        <v>0</v>
      </c>
    </row>
    <row r="120" spans="1:8" ht="12.75" hidden="1" customHeight="1">
      <c r="A120" s="153" t="s">
        <v>307</v>
      </c>
      <c r="B120" s="154" t="s">
        <v>308</v>
      </c>
      <c r="C120" s="148">
        <v>0</v>
      </c>
      <c r="D120" s="148">
        <v>0</v>
      </c>
      <c r="E120" s="148">
        <v>0</v>
      </c>
      <c r="F120" s="149">
        <v>0</v>
      </c>
      <c r="H120" s="186">
        <f t="shared" si="2"/>
        <v>0</v>
      </c>
    </row>
    <row r="121" spans="1:8" ht="12.75" hidden="1" customHeight="1">
      <c r="A121" s="159" t="s">
        <v>309</v>
      </c>
      <c r="B121" s="160" t="s">
        <v>310</v>
      </c>
      <c r="C121" s="158">
        <v>0</v>
      </c>
      <c r="D121" s="142">
        <v>0</v>
      </c>
      <c r="E121" s="142">
        <v>0</v>
      </c>
      <c r="F121" s="143">
        <v>0</v>
      </c>
      <c r="G121" s="188">
        <f t="shared" ref="G121:G126" si="5">+D121+E121+F121-C121</f>
        <v>0</v>
      </c>
      <c r="H121" s="186">
        <f t="shared" si="2"/>
        <v>0</v>
      </c>
    </row>
    <row r="122" spans="1:8" ht="12.75" hidden="1" customHeight="1">
      <c r="A122" s="159" t="s">
        <v>311</v>
      </c>
      <c r="B122" s="160" t="s">
        <v>312</v>
      </c>
      <c r="C122" s="158">
        <v>0</v>
      </c>
      <c r="D122" s="142">
        <v>0</v>
      </c>
      <c r="E122" s="142">
        <v>0</v>
      </c>
      <c r="F122" s="143">
        <v>0</v>
      </c>
      <c r="G122" s="188">
        <f t="shared" si="5"/>
        <v>0</v>
      </c>
      <c r="H122" s="186">
        <f t="shared" si="2"/>
        <v>0</v>
      </c>
    </row>
    <row r="123" spans="1:8" ht="12.75" hidden="1" customHeight="1">
      <c r="A123" s="159" t="s">
        <v>313</v>
      </c>
      <c r="B123" s="160" t="s">
        <v>314</v>
      </c>
      <c r="C123" s="158">
        <v>0</v>
      </c>
      <c r="D123" s="142">
        <v>0</v>
      </c>
      <c r="E123" s="142">
        <v>0</v>
      </c>
      <c r="F123" s="143">
        <v>0</v>
      </c>
      <c r="G123" s="188">
        <f t="shared" si="5"/>
        <v>0</v>
      </c>
      <c r="H123" s="186">
        <f t="shared" si="2"/>
        <v>0</v>
      </c>
    </row>
    <row r="124" spans="1:8" ht="25.5" hidden="1" customHeight="1">
      <c r="A124" s="159" t="s">
        <v>315</v>
      </c>
      <c r="B124" s="160" t="s">
        <v>316</v>
      </c>
      <c r="C124" s="158">
        <v>0</v>
      </c>
      <c r="D124" s="142">
        <v>0</v>
      </c>
      <c r="E124" s="142">
        <v>0</v>
      </c>
      <c r="F124" s="143">
        <v>0</v>
      </c>
      <c r="G124" s="188">
        <f t="shared" si="5"/>
        <v>0</v>
      </c>
      <c r="H124" s="186">
        <f t="shared" si="2"/>
        <v>0</v>
      </c>
    </row>
    <row r="125" spans="1:8" ht="12.75" hidden="1" customHeight="1">
      <c r="A125" s="159" t="s">
        <v>317</v>
      </c>
      <c r="B125" s="160" t="s">
        <v>318</v>
      </c>
      <c r="C125" s="158">
        <v>0</v>
      </c>
      <c r="D125" s="142">
        <v>0</v>
      </c>
      <c r="E125" s="142">
        <v>0</v>
      </c>
      <c r="F125" s="143">
        <v>0</v>
      </c>
      <c r="G125" s="188">
        <f t="shared" si="5"/>
        <v>0</v>
      </c>
      <c r="H125" s="186">
        <f t="shared" si="2"/>
        <v>0</v>
      </c>
    </row>
    <row r="126" spans="1:8" ht="12.75" hidden="1" customHeight="1">
      <c r="A126" s="150" t="s">
        <v>319</v>
      </c>
      <c r="B126" s="151" t="s">
        <v>320</v>
      </c>
      <c r="C126" s="158">
        <v>0</v>
      </c>
      <c r="D126" s="142">
        <v>0</v>
      </c>
      <c r="E126" s="142">
        <v>0</v>
      </c>
      <c r="F126" s="143">
        <v>0</v>
      </c>
      <c r="G126" s="188">
        <f t="shared" si="5"/>
        <v>0</v>
      </c>
      <c r="H126" s="186">
        <f t="shared" si="2"/>
        <v>0</v>
      </c>
    </row>
    <row r="127" spans="1:8" ht="12.75" customHeight="1">
      <c r="A127" s="150"/>
      <c r="B127" s="151"/>
      <c r="C127" s="141"/>
      <c r="D127" s="142"/>
      <c r="E127" s="142"/>
      <c r="F127" s="143"/>
      <c r="H127" s="186">
        <f t="shared" si="2"/>
        <v>0</v>
      </c>
    </row>
    <row r="128" spans="1:8" ht="12.75" customHeight="1">
      <c r="A128" s="153">
        <v>2</v>
      </c>
      <c r="B128" s="154" t="s">
        <v>321</v>
      </c>
      <c r="C128" s="148">
        <v>15902193</v>
      </c>
      <c r="D128" s="148">
        <v>5823193</v>
      </c>
      <c r="E128" s="148">
        <v>776000</v>
      </c>
      <c r="F128" s="149">
        <v>9303000</v>
      </c>
      <c r="H128" s="186">
        <f t="shared" si="2"/>
        <v>6.8235112636856306E-3</v>
      </c>
    </row>
    <row r="129" spans="1:8" ht="12.75" customHeight="1">
      <c r="A129" s="150"/>
      <c r="B129" s="151"/>
      <c r="C129" s="141"/>
      <c r="D129" s="142"/>
      <c r="E129" s="142"/>
      <c r="F129" s="143"/>
      <c r="H129" s="186">
        <f t="shared" si="2"/>
        <v>0</v>
      </c>
    </row>
    <row r="130" spans="1:8" ht="12.75" customHeight="1">
      <c r="A130" s="153" t="s">
        <v>322</v>
      </c>
      <c r="B130" s="154" t="s">
        <v>323</v>
      </c>
      <c r="C130" s="148">
        <v>3240000</v>
      </c>
      <c r="D130" s="148">
        <v>665000</v>
      </c>
      <c r="E130" s="148">
        <v>130000</v>
      </c>
      <c r="F130" s="149">
        <v>2445000</v>
      </c>
      <c r="H130" s="186">
        <f t="shared" si="2"/>
        <v>1.3902596009456962E-3</v>
      </c>
    </row>
    <row r="131" spans="1:8" ht="12.75" customHeight="1">
      <c r="A131" s="150" t="s">
        <v>324</v>
      </c>
      <c r="B131" s="151" t="s">
        <v>325</v>
      </c>
      <c r="C131" s="158">
        <v>900000</v>
      </c>
      <c r="D131" s="142">
        <v>0</v>
      </c>
      <c r="E131" s="142">
        <v>0</v>
      </c>
      <c r="F131" s="143">
        <v>900000</v>
      </c>
      <c r="G131" s="188">
        <f>+D131+E131+F131-C131</f>
        <v>0</v>
      </c>
      <c r="H131" s="186">
        <f t="shared" si="2"/>
        <v>3.8618322248491565E-4</v>
      </c>
    </row>
    <row r="132" spans="1:8" ht="12.75" customHeight="1">
      <c r="A132" s="150" t="s">
        <v>326</v>
      </c>
      <c r="B132" s="151" t="s">
        <v>327</v>
      </c>
      <c r="C132" s="158">
        <v>780000</v>
      </c>
      <c r="D132" s="142">
        <v>80000</v>
      </c>
      <c r="E132" s="142">
        <v>0</v>
      </c>
      <c r="F132" s="143">
        <v>700000</v>
      </c>
      <c r="G132" s="188">
        <f>+D132+E132+F132-C132</f>
        <v>0</v>
      </c>
      <c r="H132" s="186">
        <f t="shared" si="2"/>
        <v>3.3469212615359353E-4</v>
      </c>
    </row>
    <row r="133" spans="1:8" ht="12.75" hidden="1" customHeight="1">
      <c r="A133" s="159" t="s">
        <v>328</v>
      </c>
      <c r="B133" s="160" t="s">
        <v>329</v>
      </c>
      <c r="C133" s="158">
        <v>0</v>
      </c>
      <c r="D133" s="142">
        <v>0</v>
      </c>
      <c r="E133" s="142">
        <v>0</v>
      </c>
      <c r="F133" s="143">
        <v>0</v>
      </c>
      <c r="G133" s="188">
        <f>+D133+E133+F133-C133</f>
        <v>0</v>
      </c>
      <c r="H133" s="186">
        <f t="shared" si="2"/>
        <v>0</v>
      </c>
    </row>
    <row r="134" spans="1:8" ht="12.75" customHeight="1">
      <c r="A134" s="150" t="s">
        <v>330</v>
      </c>
      <c r="B134" s="151" t="s">
        <v>331</v>
      </c>
      <c r="C134" s="158">
        <v>1340000</v>
      </c>
      <c r="D134" s="142">
        <v>485000</v>
      </c>
      <c r="E134" s="142">
        <v>130000</v>
      </c>
      <c r="F134" s="143">
        <v>725000</v>
      </c>
      <c r="G134" s="188">
        <f>+D134+E134+F134-C134</f>
        <v>0</v>
      </c>
      <c r="H134" s="186">
        <f t="shared" si="2"/>
        <v>5.7498390903309657E-4</v>
      </c>
    </row>
    <row r="135" spans="1:8" ht="12.75" customHeight="1">
      <c r="A135" s="150" t="s">
        <v>332</v>
      </c>
      <c r="B135" s="151" t="s">
        <v>333</v>
      </c>
      <c r="C135" s="158">
        <v>220000</v>
      </c>
      <c r="D135" s="142">
        <v>100000</v>
      </c>
      <c r="E135" s="142">
        <v>0</v>
      </c>
      <c r="F135" s="143">
        <v>120000</v>
      </c>
      <c r="G135" s="188">
        <f>+D135+E135+F135-C135</f>
        <v>0</v>
      </c>
      <c r="H135" s="186">
        <f t="shared" si="2"/>
        <v>9.4400343274090486E-5</v>
      </c>
    </row>
    <row r="136" spans="1:8" ht="12.75" customHeight="1">
      <c r="A136" s="150"/>
      <c r="B136" s="151"/>
      <c r="C136" s="141"/>
      <c r="D136" s="142"/>
      <c r="E136" s="142"/>
      <c r="F136" s="143"/>
      <c r="H136" s="186">
        <f t="shared" si="2"/>
        <v>0</v>
      </c>
    </row>
    <row r="137" spans="1:8">
      <c r="A137" s="153" t="s">
        <v>334</v>
      </c>
      <c r="B137" s="154" t="s">
        <v>335</v>
      </c>
      <c r="C137" s="148">
        <v>250000</v>
      </c>
      <c r="D137" s="148">
        <v>0</v>
      </c>
      <c r="E137" s="148">
        <v>0</v>
      </c>
      <c r="F137" s="149">
        <v>250000</v>
      </c>
      <c r="H137" s="186">
        <f t="shared" si="2"/>
        <v>1.07273117356921E-4</v>
      </c>
    </row>
    <row r="138" spans="1:8" ht="12.75" hidden="1" customHeight="1">
      <c r="A138" s="159" t="s">
        <v>336</v>
      </c>
      <c r="B138" s="160" t="s">
        <v>337</v>
      </c>
      <c r="C138" s="158">
        <v>0</v>
      </c>
      <c r="D138" s="142">
        <v>0</v>
      </c>
      <c r="E138" s="142">
        <v>0</v>
      </c>
      <c r="F138" s="143">
        <v>0</v>
      </c>
      <c r="G138" s="188">
        <f>+D138+E138+F138-C138</f>
        <v>0</v>
      </c>
      <c r="H138" s="186">
        <f t="shared" si="2"/>
        <v>0</v>
      </c>
    </row>
    <row r="139" spans="1:8" ht="12.75" hidden="1" customHeight="1">
      <c r="A139" s="150" t="s">
        <v>338</v>
      </c>
      <c r="B139" s="151" t="s">
        <v>339</v>
      </c>
      <c r="C139" s="158">
        <v>0</v>
      </c>
      <c r="D139" s="142">
        <v>0</v>
      </c>
      <c r="E139" s="142">
        <v>0</v>
      </c>
      <c r="F139" s="143">
        <v>0</v>
      </c>
      <c r="G139" s="188">
        <f>+D139+E139+F139-C139</f>
        <v>0</v>
      </c>
      <c r="H139" s="186">
        <f t="shared" si="2"/>
        <v>0</v>
      </c>
    </row>
    <row r="140" spans="1:8" ht="12.75" customHeight="1">
      <c r="A140" s="150" t="s">
        <v>340</v>
      </c>
      <c r="B140" s="151" t="s">
        <v>341</v>
      </c>
      <c r="C140" s="158">
        <v>250000</v>
      </c>
      <c r="D140" s="142">
        <v>0</v>
      </c>
      <c r="E140" s="142">
        <v>0</v>
      </c>
      <c r="F140" s="143">
        <v>250000</v>
      </c>
      <c r="G140" s="188">
        <f>+D140+E140+F140-C140</f>
        <v>0</v>
      </c>
      <c r="H140" s="186">
        <f t="shared" ref="H140:H203" si="6">C140/$C$9</f>
        <v>1.07273117356921E-4</v>
      </c>
    </row>
    <row r="141" spans="1:8" ht="12.75" hidden="1" customHeight="1">
      <c r="A141" s="159" t="s">
        <v>342</v>
      </c>
      <c r="B141" s="160" t="s">
        <v>343</v>
      </c>
      <c r="C141" s="158">
        <v>0</v>
      </c>
      <c r="D141" s="142">
        <v>0</v>
      </c>
      <c r="E141" s="142">
        <v>0</v>
      </c>
      <c r="F141" s="143">
        <v>0</v>
      </c>
      <c r="G141" s="188">
        <f>+D141+E141+F141-C141</f>
        <v>0</v>
      </c>
      <c r="H141" s="186">
        <f t="shared" si="6"/>
        <v>0</v>
      </c>
    </row>
    <row r="142" spans="1:8" ht="12.75" customHeight="1">
      <c r="A142" s="150"/>
      <c r="B142" s="165"/>
      <c r="C142" s="141"/>
      <c r="D142" s="142"/>
      <c r="E142" s="142"/>
      <c r="F142" s="143"/>
      <c r="H142" s="186">
        <f t="shared" si="6"/>
        <v>0</v>
      </c>
    </row>
    <row r="143" spans="1:8" ht="25.5" customHeight="1">
      <c r="A143" s="153" t="s">
        <v>344</v>
      </c>
      <c r="B143" s="154" t="s">
        <v>345</v>
      </c>
      <c r="C143" s="148">
        <v>2425000</v>
      </c>
      <c r="D143" s="148">
        <v>800000</v>
      </c>
      <c r="E143" s="148">
        <v>0</v>
      </c>
      <c r="F143" s="149">
        <v>1625000</v>
      </c>
      <c r="H143" s="186">
        <f t="shared" si="6"/>
        <v>1.0405492383621338E-3</v>
      </c>
    </row>
    <row r="144" spans="1:8" ht="12.75" customHeight="1">
      <c r="A144" s="150" t="s">
        <v>346</v>
      </c>
      <c r="B144" s="151" t="s">
        <v>347</v>
      </c>
      <c r="C144" s="158">
        <v>350000</v>
      </c>
      <c r="D144" s="142">
        <v>0</v>
      </c>
      <c r="E144" s="142">
        <v>0</v>
      </c>
      <c r="F144" s="143">
        <v>350000</v>
      </c>
      <c r="G144" s="188">
        <f t="shared" ref="G144:G150" si="7">+D144+E144+F144-C144</f>
        <v>0</v>
      </c>
      <c r="H144" s="186">
        <f t="shared" si="6"/>
        <v>1.5018236429968941E-4</v>
      </c>
    </row>
    <row r="145" spans="1:8" ht="25.5" customHeight="1">
      <c r="A145" s="150" t="s">
        <v>348</v>
      </c>
      <c r="B145" s="151" t="s">
        <v>349</v>
      </c>
      <c r="C145" s="158">
        <v>100000</v>
      </c>
      <c r="D145" s="142">
        <v>0</v>
      </c>
      <c r="E145" s="142">
        <v>0</v>
      </c>
      <c r="F145" s="143">
        <v>100000</v>
      </c>
      <c r="G145" s="188">
        <f t="shared" si="7"/>
        <v>0</v>
      </c>
      <c r="H145" s="186">
        <f t="shared" si="6"/>
        <v>4.2909246942768404E-5</v>
      </c>
    </row>
    <row r="146" spans="1:8" ht="12.75" customHeight="1">
      <c r="A146" s="150" t="s">
        <v>350</v>
      </c>
      <c r="B146" s="151" t="s">
        <v>351</v>
      </c>
      <c r="C146" s="158">
        <v>100000</v>
      </c>
      <c r="D146" s="142">
        <v>0</v>
      </c>
      <c r="E146" s="142">
        <v>0</v>
      </c>
      <c r="F146" s="143">
        <v>100000</v>
      </c>
      <c r="G146" s="188">
        <f t="shared" si="7"/>
        <v>0</v>
      </c>
      <c r="H146" s="186">
        <f t="shared" si="6"/>
        <v>4.2909246942768404E-5</v>
      </c>
    </row>
    <row r="147" spans="1:8" ht="25.5">
      <c r="A147" s="150" t="s">
        <v>352</v>
      </c>
      <c r="B147" s="151" t="s">
        <v>353</v>
      </c>
      <c r="C147" s="158">
        <v>900000</v>
      </c>
      <c r="D147" s="142">
        <v>0</v>
      </c>
      <c r="E147" s="142">
        <v>0</v>
      </c>
      <c r="F147" s="143">
        <v>900000</v>
      </c>
      <c r="G147" s="188">
        <f t="shared" si="7"/>
        <v>0</v>
      </c>
      <c r="H147" s="186">
        <f t="shared" si="6"/>
        <v>3.8618322248491565E-4</v>
      </c>
    </row>
    <row r="148" spans="1:8" ht="12.75" hidden="1" customHeight="1">
      <c r="A148" s="150" t="s">
        <v>354</v>
      </c>
      <c r="B148" s="151" t="s">
        <v>355</v>
      </c>
      <c r="C148" s="158">
        <v>0</v>
      </c>
      <c r="D148" s="142">
        <v>0</v>
      </c>
      <c r="E148" s="142">
        <v>0</v>
      </c>
      <c r="F148" s="143">
        <v>0</v>
      </c>
      <c r="G148" s="188">
        <f t="shared" si="7"/>
        <v>0</v>
      </c>
      <c r="H148" s="186">
        <f t="shared" si="6"/>
        <v>0</v>
      </c>
    </row>
    <row r="149" spans="1:8" ht="12.75" customHeight="1">
      <c r="A149" s="150" t="s">
        <v>356</v>
      </c>
      <c r="B149" s="151" t="s">
        <v>357</v>
      </c>
      <c r="C149" s="158">
        <v>975000</v>
      </c>
      <c r="D149" s="142">
        <v>800000</v>
      </c>
      <c r="E149" s="142">
        <v>0</v>
      </c>
      <c r="F149" s="143">
        <v>175000</v>
      </c>
      <c r="G149" s="188">
        <f t="shared" si="7"/>
        <v>0</v>
      </c>
      <c r="H149" s="186">
        <f t="shared" si="6"/>
        <v>4.1836515769199192E-4</v>
      </c>
    </row>
    <row r="150" spans="1:8" ht="17.25" hidden="1" customHeight="1">
      <c r="A150" s="150" t="s">
        <v>358</v>
      </c>
      <c r="B150" s="151" t="s">
        <v>359</v>
      </c>
      <c r="C150" s="158">
        <v>0</v>
      </c>
      <c r="D150" s="142">
        <v>0</v>
      </c>
      <c r="E150" s="142">
        <v>0</v>
      </c>
      <c r="F150" s="143">
        <v>0</v>
      </c>
      <c r="G150" s="188">
        <f t="shared" si="7"/>
        <v>0</v>
      </c>
      <c r="H150" s="186">
        <f t="shared" si="6"/>
        <v>0</v>
      </c>
    </row>
    <row r="151" spans="1:8" ht="12.75" customHeight="1">
      <c r="A151" s="150"/>
      <c r="B151" s="151"/>
      <c r="C151" s="141"/>
      <c r="D151" s="142"/>
      <c r="E151" s="142"/>
      <c r="F151" s="143"/>
      <c r="H151" s="186">
        <f t="shared" si="6"/>
        <v>0</v>
      </c>
    </row>
    <row r="152" spans="1:8" ht="25.5" customHeight="1">
      <c r="A152" s="153" t="s">
        <v>360</v>
      </c>
      <c r="B152" s="154" t="s">
        <v>361</v>
      </c>
      <c r="C152" s="148">
        <v>1649085</v>
      </c>
      <c r="D152" s="148">
        <v>1049085</v>
      </c>
      <c r="E152" s="148">
        <v>0</v>
      </c>
      <c r="F152" s="149">
        <v>600000</v>
      </c>
      <c r="H152" s="186">
        <f t="shared" si="6"/>
        <v>7.0760995494615231E-4</v>
      </c>
    </row>
    <row r="153" spans="1:8" ht="12.75" customHeight="1">
      <c r="A153" s="150" t="s">
        <v>362</v>
      </c>
      <c r="B153" s="151" t="s">
        <v>363</v>
      </c>
      <c r="C153" s="158">
        <v>50000</v>
      </c>
      <c r="D153" s="142">
        <v>50000</v>
      </c>
      <c r="E153" s="142">
        <v>0</v>
      </c>
      <c r="F153" s="143">
        <v>0</v>
      </c>
      <c r="G153" s="188">
        <f>+D153+E153+F153-C153</f>
        <v>0</v>
      </c>
      <c r="H153" s="186">
        <f t="shared" si="6"/>
        <v>2.1454623471384202E-5</v>
      </c>
    </row>
    <row r="154" spans="1:8" ht="12.75" customHeight="1">
      <c r="A154" s="150" t="s">
        <v>364</v>
      </c>
      <c r="B154" s="151" t="s">
        <v>365</v>
      </c>
      <c r="C154" s="158">
        <v>1599085</v>
      </c>
      <c r="D154" s="142">
        <v>999085</v>
      </c>
      <c r="E154" s="142">
        <v>0</v>
      </c>
      <c r="F154" s="143">
        <v>600000</v>
      </c>
      <c r="G154" s="188">
        <f>+D154+E154+F154-C154</f>
        <v>0</v>
      </c>
      <c r="H154" s="186">
        <f t="shared" si="6"/>
        <v>6.8615533147476813E-4</v>
      </c>
    </row>
    <row r="155" spans="1:8" ht="12.75" customHeight="1">
      <c r="A155" s="159"/>
      <c r="B155" s="160"/>
      <c r="C155" s="141"/>
      <c r="D155" s="142"/>
      <c r="E155" s="142"/>
      <c r="F155" s="143"/>
      <c r="H155" s="186">
        <f t="shared" si="6"/>
        <v>0</v>
      </c>
    </row>
    <row r="156" spans="1:8" ht="25.5" hidden="1" customHeight="1">
      <c r="A156" s="153">
        <v>2.0499999999999998</v>
      </c>
      <c r="B156" s="154" t="s">
        <v>366</v>
      </c>
      <c r="C156" s="158">
        <v>0</v>
      </c>
      <c r="D156" s="158">
        <v>0</v>
      </c>
      <c r="E156" s="158">
        <v>0</v>
      </c>
      <c r="F156" s="164">
        <v>0</v>
      </c>
      <c r="H156" s="186">
        <f t="shared" si="6"/>
        <v>0</v>
      </c>
    </row>
    <row r="157" spans="1:8" ht="12.75" hidden="1" customHeight="1">
      <c r="A157" s="159" t="s">
        <v>367</v>
      </c>
      <c r="B157" s="160" t="s">
        <v>368</v>
      </c>
      <c r="C157" s="158">
        <v>0</v>
      </c>
      <c r="D157" s="142">
        <v>0</v>
      </c>
      <c r="E157" s="142">
        <v>0</v>
      </c>
      <c r="F157" s="143">
        <v>0</v>
      </c>
      <c r="G157" s="188">
        <f>+D157+E157+F157-C157</f>
        <v>0</v>
      </c>
      <c r="H157" s="186">
        <f t="shared" si="6"/>
        <v>0</v>
      </c>
    </row>
    <row r="158" spans="1:8" ht="12.75" hidden="1" customHeight="1">
      <c r="A158" s="159" t="s">
        <v>369</v>
      </c>
      <c r="B158" s="160" t="s">
        <v>370</v>
      </c>
      <c r="C158" s="158">
        <v>0</v>
      </c>
      <c r="D158" s="142">
        <v>0</v>
      </c>
      <c r="E158" s="142">
        <v>0</v>
      </c>
      <c r="F158" s="143">
        <v>0</v>
      </c>
      <c r="G158" s="188">
        <f>+D158+E158+F158-C158</f>
        <v>0</v>
      </c>
      <c r="H158" s="186">
        <f t="shared" si="6"/>
        <v>0</v>
      </c>
    </row>
    <row r="159" spans="1:8" ht="12.75" hidden="1" customHeight="1">
      <c r="A159" s="159" t="s">
        <v>371</v>
      </c>
      <c r="B159" s="160" t="s">
        <v>372</v>
      </c>
      <c r="C159" s="158">
        <v>0</v>
      </c>
      <c r="D159" s="142">
        <v>0</v>
      </c>
      <c r="E159" s="142">
        <v>0</v>
      </c>
      <c r="F159" s="143">
        <v>0</v>
      </c>
      <c r="G159" s="188">
        <f>+D159+E159+F159-C159</f>
        <v>0</v>
      </c>
      <c r="H159" s="186">
        <f t="shared" si="6"/>
        <v>0</v>
      </c>
    </row>
    <row r="160" spans="1:8" ht="25.5" hidden="1" customHeight="1">
      <c r="A160" s="159" t="s">
        <v>373</v>
      </c>
      <c r="B160" s="160" t="s">
        <v>374</v>
      </c>
      <c r="C160" s="158">
        <v>0</v>
      </c>
      <c r="D160" s="142">
        <v>0</v>
      </c>
      <c r="E160" s="142">
        <v>0</v>
      </c>
      <c r="F160" s="143">
        <v>0</v>
      </c>
      <c r="G160" s="188">
        <f>+D160+E160+F160-C160</f>
        <v>0</v>
      </c>
      <c r="H160" s="186">
        <f t="shared" si="6"/>
        <v>0</v>
      </c>
    </row>
    <row r="161" spans="1:8" ht="12.75" hidden="1" customHeight="1">
      <c r="A161" s="150"/>
      <c r="B161" s="151"/>
      <c r="C161" s="141"/>
      <c r="D161" s="142"/>
      <c r="E161" s="142"/>
      <c r="F161" s="143"/>
      <c r="H161" s="186">
        <f t="shared" si="6"/>
        <v>0</v>
      </c>
    </row>
    <row r="162" spans="1:8" ht="25.5" customHeight="1">
      <c r="A162" s="153" t="s">
        <v>375</v>
      </c>
      <c r="B162" s="154" t="s">
        <v>376</v>
      </c>
      <c r="C162" s="148">
        <v>8338108</v>
      </c>
      <c r="D162" s="148">
        <v>3309108</v>
      </c>
      <c r="E162" s="148">
        <v>646000</v>
      </c>
      <c r="F162" s="149">
        <v>4383000</v>
      </c>
      <c r="H162" s="186">
        <f t="shared" si="6"/>
        <v>3.5778193520747278E-3</v>
      </c>
    </row>
    <row r="163" spans="1:8" ht="12.75" customHeight="1">
      <c r="A163" s="150" t="s">
        <v>377</v>
      </c>
      <c r="B163" s="151" t="s">
        <v>378</v>
      </c>
      <c r="C163" s="158">
        <v>1322000</v>
      </c>
      <c r="D163" s="142">
        <v>686000</v>
      </c>
      <c r="E163" s="142">
        <v>126000</v>
      </c>
      <c r="F163" s="143">
        <v>510000</v>
      </c>
      <c r="G163" s="188">
        <f t="shared" ref="G163:G170" si="8">+D163+E163+F163-C163</f>
        <v>0</v>
      </c>
      <c r="H163" s="186">
        <f t="shared" si="6"/>
        <v>5.6726024458339823E-4</v>
      </c>
    </row>
    <row r="164" spans="1:8" ht="25.5" customHeight="1">
      <c r="A164" s="150" t="s">
        <v>379</v>
      </c>
      <c r="B164" s="151" t="s">
        <v>380</v>
      </c>
      <c r="C164" s="158">
        <v>633000</v>
      </c>
      <c r="D164" s="142">
        <v>83000</v>
      </c>
      <c r="E164" s="142">
        <v>0</v>
      </c>
      <c r="F164" s="143">
        <v>550000</v>
      </c>
      <c r="G164" s="188">
        <f t="shared" si="8"/>
        <v>0</v>
      </c>
      <c r="H164" s="186">
        <f t="shared" si="6"/>
        <v>2.71615533147724E-4</v>
      </c>
    </row>
    <row r="165" spans="1:8" ht="12.75" customHeight="1">
      <c r="A165" s="150" t="s">
        <v>381</v>
      </c>
      <c r="B165" s="151" t="s">
        <v>382</v>
      </c>
      <c r="C165" s="158">
        <v>3843108</v>
      </c>
      <c r="D165" s="142">
        <v>2040108</v>
      </c>
      <c r="E165" s="142">
        <v>320000</v>
      </c>
      <c r="F165" s="143">
        <v>1483000</v>
      </c>
      <c r="G165" s="188">
        <f t="shared" si="8"/>
        <v>0</v>
      </c>
      <c r="H165" s="186">
        <f t="shared" si="6"/>
        <v>1.649048701997288E-3</v>
      </c>
    </row>
    <row r="166" spans="1:8" ht="12.75" customHeight="1">
      <c r="A166" s="150" t="s">
        <v>383</v>
      </c>
      <c r="B166" s="151" t="s">
        <v>384</v>
      </c>
      <c r="C166" s="158">
        <v>1100000</v>
      </c>
      <c r="D166" s="142">
        <v>450000</v>
      </c>
      <c r="E166" s="142">
        <v>50000</v>
      </c>
      <c r="F166" s="143">
        <v>600000</v>
      </c>
      <c r="G166" s="188">
        <f t="shared" si="8"/>
        <v>0</v>
      </c>
      <c r="H166" s="186">
        <f t="shared" si="6"/>
        <v>4.7200171637045243E-4</v>
      </c>
    </row>
    <row r="167" spans="1:8" ht="12.75" customHeight="1">
      <c r="A167" s="150" t="s">
        <v>385</v>
      </c>
      <c r="B167" s="151" t="s">
        <v>386</v>
      </c>
      <c r="C167" s="158">
        <v>375000</v>
      </c>
      <c r="D167" s="142">
        <v>50000</v>
      </c>
      <c r="E167" s="142">
        <v>0</v>
      </c>
      <c r="F167" s="143">
        <v>325000</v>
      </c>
      <c r="G167" s="188">
        <f t="shared" si="8"/>
        <v>0</v>
      </c>
      <c r="H167" s="186">
        <f t="shared" si="6"/>
        <v>1.609096760353815E-4</v>
      </c>
    </row>
    <row r="168" spans="1:8" ht="16.5" customHeight="1">
      <c r="A168" s="150" t="s">
        <v>387</v>
      </c>
      <c r="B168" s="151" t="s">
        <v>388</v>
      </c>
      <c r="C168" s="158">
        <v>650000</v>
      </c>
      <c r="D168" s="142">
        <v>0</v>
      </c>
      <c r="E168" s="142">
        <v>0</v>
      </c>
      <c r="F168" s="143">
        <v>650000</v>
      </c>
      <c r="G168" s="188">
        <f t="shared" si="8"/>
        <v>0</v>
      </c>
      <c r="H168" s="186">
        <f t="shared" si="6"/>
        <v>2.7891010512799463E-4</v>
      </c>
    </row>
    <row r="169" spans="1:8" ht="12.75" customHeight="1">
      <c r="A169" s="150" t="s">
        <v>389</v>
      </c>
      <c r="B169" s="151" t="s">
        <v>390</v>
      </c>
      <c r="C169" s="158">
        <v>20000</v>
      </c>
      <c r="D169" s="142">
        <v>0</v>
      </c>
      <c r="E169" s="142">
        <v>0</v>
      </c>
      <c r="F169" s="143">
        <v>20000</v>
      </c>
      <c r="G169" s="188">
        <f t="shared" si="8"/>
        <v>0</v>
      </c>
      <c r="H169" s="186">
        <f t="shared" si="6"/>
        <v>8.5818493885536798E-6</v>
      </c>
    </row>
    <row r="170" spans="1:8" ht="12.75" customHeight="1">
      <c r="A170" s="150" t="s">
        <v>391</v>
      </c>
      <c r="B170" s="151" t="s">
        <v>392</v>
      </c>
      <c r="C170" s="158">
        <v>395000</v>
      </c>
      <c r="D170" s="142">
        <v>0</v>
      </c>
      <c r="E170" s="142">
        <v>150000</v>
      </c>
      <c r="F170" s="143">
        <v>245000</v>
      </c>
      <c r="G170" s="188">
        <f t="shared" si="8"/>
        <v>0</v>
      </c>
      <c r="H170" s="186">
        <f t="shared" si="6"/>
        <v>1.694915254239352E-4</v>
      </c>
    </row>
    <row r="171" spans="1:8" ht="12.75" customHeight="1">
      <c r="A171" s="150"/>
      <c r="B171" s="151"/>
      <c r="C171" s="141"/>
      <c r="D171" s="142"/>
      <c r="E171" s="142"/>
      <c r="F171" s="143"/>
      <c r="H171" s="186">
        <f t="shared" si="6"/>
        <v>0</v>
      </c>
    </row>
    <row r="172" spans="1:8" ht="12.75" hidden="1" customHeight="1">
      <c r="A172" s="153">
        <v>5</v>
      </c>
      <c r="B172" s="154" t="s">
        <v>393</v>
      </c>
      <c r="C172" s="148">
        <v>0</v>
      </c>
      <c r="D172" s="148">
        <v>0</v>
      </c>
      <c r="E172" s="148">
        <v>0</v>
      </c>
      <c r="F172" s="149">
        <v>0</v>
      </c>
      <c r="H172" s="190">
        <f t="shared" si="6"/>
        <v>0</v>
      </c>
    </row>
    <row r="173" spans="1:8" ht="12.75" hidden="1" customHeight="1">
      <c r="A173" s="150"/>
      <c r="B173" s="151"/>
      <c r="C173" s="141"/>
      <c r="D173" s="142"/>
      <c r="E173" s="142"/>
      <c r="F173" s="143"/>
      <c r="H173" s="186">
        <f t="shared" si="6"/>
        <v>0</v>
      </c>
    </row>
    <row r="174" spans="1:8" ht="12.75" hidden="1" customHeight="1">
      <c r="A174" s="153" t="s">
        <v>394</v>
      </c>
      <c r="B174" s="154" t="s">
        <v>395</v>
      </c>
      <c r="C174" s="148">
        <v>0</v>
      </c>
      <c r="D174" s="148">
        <v>0</v>
      </c>
      <c r="E174" s="148">
        <v>0</v>
      </c>
      <c r="F174" s="149">
        <v>0</v>
      </c>
      <c r="H174" s="186">
        <f t="shared" si="6"/>
        <v>0</v>
      </c>
    </row>
    <row r="175" spans="1:8" ht="12.75" hidden="1" customHeight="1">
      <c r="A175" s="159" t="s">
        <v>396</v>
      </c>
      <c r="B175" s="160" t="s">
        <v>397</v>
      </c>
      <c r="C175" s="158">
        <v>0</v>
      </c>
      <c r="D175" s="142">
        <v>0</v>
      </c>
      <c r="E175" s="142">
        <v>0</v>
      </c>
      <c r="F175" s="143">
        <v>0</v>
      </c>
      <c r="G175" s="188">
        <f t="shared" ref="G175:G182" si="9">+D175+E175+F175-C175</f>
        <v>0</v>
      </c>
      <c r="H175" s="186">
        <f t="shared" si="6"/>
        <v>0</v>
      </c>
    </row>
    <row r="176" spans="1:8" ht="12.75" hidden="1" customHeight="1">
      <c r="A176" s="159" t="s">
        <v>398</v>
      </c>
      <c r="B176" s="160" t="s">
        <v>399</v>
      </c>
      <c r="C176" s="158">
        <v>0</v>
      </c>
      <c r="D176" s="142">
        <v>0</v>
      </c>
      <c r="E176" s="142">
        <v>0</v>
      </c>
      <c r="F176" s="143">
        <v>0</v>
      </c>
      <c r="G176" s="188">
        <f t="shared" si="9"/>
        <v>0</v>
      </c>
      <c r="H176" s="186">
        <f t="shared" si="6"/>
        <v>0</v>
      </c>
    </row>
    <row r="177" spans="1:8" ht="12.75" hidden="1" customHeight="1">
      <c r="A177" s="150" t="s">
        <v>400</v>
      </c>
      <c r="B177" s="151" t="s">
        <v>401</v>
      </c>
      <c r="C177" s="158">
        <v>0</v>
      </c>
      <c r="D177" s="142">
        <v>0</v>
      </c>
      <c r="E177" s="142">
        <v>0</v>
      </c>
      <c r="F177" s="143">
        <v>0</v>
      </c>
      <c r="G177" s="188">
        <f t="shared" si="9"/>
        <v>0</v>
      </c>
      <c r="H177" s="186">
        <f t="shared" si="6"/>
        <v>0</v>
      </c>
    </row>
    <row r="178" spans="1:8" ht="12.75" hidden="1" customHeight="1">
      <c r="A178" s="150" t="s">
        <v>402</v>
      </c>
      <c r="B178" s="151" t="s">
        <v>403</v>
      </c>
      <c r="C178" s="158">
        <v>0</v>
      </c>
      <c r="D178" s="142">
        <v>0</v>
      </c>
      <c r="E178" s="142">
        <v>0</v>
      </c>
      <c r="F178" s="143">
        <v>0</v>
      </c>
      <c r="G178" s="188">
        <f t="shared" si="9"/>
        <v>0</v>
      </c>
      <c r="H178" s="186">
        <f t="shared" si="6"/>
        <v>0</v>
      </c>
    </row>
    <row r="179" spans="1:8" ht="12.75" hidden="1" customHeight="1">
      <c r="A179" s="150" t="s">
        <v>404</v>
      </c>
      <c r="B179" s="151" t="s">
        <v>405</v>
      </c>
      <c r="C179" s="158">
        <v>0</v>
      </c>
      <c r="D179" s="142">
        <v>0</v>
      </c>
      <c r="E179" s="142">
        <v>0</v>
      </c>
      <c r="F179" s="143">
        <v>0</v>
      </c>
      <c r="G179" s="188">
        <f t="shared" si="9"/>
        <v>0</v>
      </c>
      <c r="H179" s="186">
        <f t="shared" si="6"/>
        <v>0</v>
      </c>
    </row>
    <row r="180" spans="1:8" hidden="1">
      <c r="A180" s="159" t="s">
        <v>406</v>
      </c>
      <c r="B180" s="160" t="s">
        <v>407</v>
      </c>
      <c r="C180" s="158">
        <v>0</v>
      </c>
      <c r="D180" s="142">
        <v>0</v>
      </c>
      <c r="E180" s="142">
        <v>0</v>
      </c>
      <c r="F180" s="143">
        <v>0</v>
      </c>
      <c r="G180" s="188">
        <f t="shared" si="9"/>
        <v>0</v>
      </c>
      <c r="H180" s="186">
        <f t="shared" si="6"/>
        <v>0</v>
      </c>
    </row>
    <row r="181" spans="1:8" hidden="1">
      <c r="A181" s="150" t="s">
        <v>408</v>
      </c>
      <c r="B181" s="151" t="s">
        <v>409</v>
      </c>
      <c r="C181" s="158">
        <v>0</v>
      </c>
      <c r="D181" s="142">
        <v>0</v>
      </c>
      <c r="E181" s="142">
        <v>0</v>
      </c>
      <c r="F181" s="143">
        <v>0</v>
      </c>
      <c r="G181" s="188">
        <f t="shared" si="9"/>
        <v>0</v>
      </c>
      <c r="H181" s="186">
        <f t="shared" si="6"/>
        <v>0</v>
      </c>
    </row>
    <row r="182" spans="1:8" ht="12.75" hidden="1" customHeight="1">
      <c r="A182" s="150" t="s">
        <v>410</v>
      </c>
      <c r="B182" s="151" t="s">
        <v>411</v>
      </c>
      <c r="C182" s="158">
        <v>0</v>
      </c>
      <c r="D182" s="142">
        <v>0</v>
      </c>
      <c r="E182" s="142">
        <v>0</v>
      </c>
      <c r="F182" s="143">
        <v>0</v>
      </c>
      <c r="G182" s="188">
        <f t="shared" si="9"/>
        <v>0</v>
      </c>
      <c r="H182" s="186">
        <f t="shared" si="6"/>
        <v>0</v>
      </c>
    </row>
    <row r="183" spans="1:8" ht="12.75" hidden="1" customHeight="1">
      <c r="A183" s="150"/>
      <c r="B183" s="151"/>
      <c r="C183" s="141"/>
      <c r="D183" s="142"/>
      <c r="E183" s="142"/>
      <c r="F183" s="143"/>
      <c r="H183" s="186">
        <f t="shared" si="6"/>
        <v>0</v>
      </c>
    </row>
    <row r="184" spans="1:8" ht="25.5" hidden="1" customHeight="1">
      <c r="A184" s="153">
        <v>5.0199999999999996</v>
      </c>
      <c r="B184" s="154" t="s">
        <v>412</v>
      </c>
      <c r="C184" s="148">
        <v>0</v>
      </c>
      <c r="D184" s="148">
        <v>0</v>
      </c>
      <c r="E184" s="148">
        <v>0</v>
      </c>
      <c r="F184" s="149">
        <v>0</v>
      </c>
      <c r="H184" s="186">
        <f t="shared" si="6"/>
        <v>0</v>
      </c>
    </row>
    <row r="185" spans="1:8" ht="12.75" hidden="1" customHeight="1">
      <c r="A185" s="159" t="s">
        <v>413</v>
      </c>
      <c r="B185" s="160" t="s">
        <v>414</v>
      </c>
      <c r="C185" s="158">
        <v>0</v>
      </c>
      <c r="D185" s="142">
        <v>0</v>
      </c>
      <c r="E185" s="142">
        <v>0</v>
      </c>
      <c r="F185" s="143">
        <v>0</v>
      </c>
      <c r="G185" s="188">
        <f t="shared" ref="G185:G192" si="10">+D185+E185+F185-C185</f>
        <v>0</v>
      </c>
      <c r="H185" s="186">
        <f t="shared" si="6"/>
        <v>0</v>
      </c>
    </row>
    <row r="186" spans="1:8" ht="12.75" hidden="1" customHeight="1">
      <c r="A186" s="159" t="s">
        <v>415</v>
      </c>
      <c r="B186" s="160" t="s">
        <v>416</v>
      </c>
      <c r="C186" s="158">
        <v>0</v>
      </c>
      <c r="D186" s="142">
        <v>0</v>
      </c>
      <c r="E186" s="142">
        <v>0</v>
      </c>
      <c r="F186" s="143">
        <v>0</v>
      </c>
      <c r="G186" s="188">
        <f t="shared" si="10"/>
        <v>0</v>
      </c>
      <c r="H186" s="186">
        <f t="shared" si="6"/>
        <v>0</v>
      </c>
    </row>
    <row r="187" spans="1:8" ht="12.75" hidden="1" customHeight="1">
      <c r="A187" s="159" t="s">
        <v>417</v>
      </c>
      <c r="B187" s="160" t="s">
        <v>418</v>
      </c>
      <c r="C187" s="158">
        <v>0</v>
      </c>
      <c r="D187" s="142">
        <v>0</v>
      </c>
      <c r="E187" s="142">
        <v>0</v>
      </c>
      <c r="F187" s="143">
        <v>0</v>
      </c>
      <c r="G187" s="188">
        <f t="shared" si="10"/>
        <v>0</v>
      </c>
      <c r="H187" s="186">
        <f t="shared" si="6"/>
        <v>0</v>
      </c>
    </row>
    <row r="188" spans="1:8" ht="12.75" hidden="1" customHeight="1">
      <c r="A188" s="159" t="s">
        <v>419</v>
      </c>
      <c r="B188" s="160" t="s">
        <v>420</v>
      </c>
      <c r="C188" s="158">
        <v>0</v>
      </c>
      <c r="D188" s="142">
        <v>0</v>
      </c>
      <c r="E188" s="142">
        <v>0</v>
      </c>
      <c r="F188" s="143">
        <v>0</v>
      </c>
      <c r="G188" s="188">
        <f t="shared" si="10"/>
        <v>0</v>
      </c>
      <c r="H188" s="186">
        <f t="shared" si="6"/>
        <v>0</v>
      </c>
    </row>
    <row r="189" spans="1:8" ht="12.75" hidden="1" customHeight="1">
      <c r="A189" s="159" t="s">
        <v>421</v>
      </c>
      <c r="B189" s="160" t="s">
        <v>422</v>
      </c>
      <c r="C189" s="158">
        <v>0</v>
      </c>
      <c r="D189" s="142">
        <v>0</v>
      </c>
      <c r="E189" s="142">
        <v>0</v>
      </c>
      <c r="F189" s="143">
        <v>0</v>
      </c>
      <c r="G189" s="188">
        <f t="shared" si="10"/>
        <v>0</v>
      </c>
      <c r="H189" s="186">
        <f t="shared" si="6"/>
        <v>0</v>
      </c>
    </row>
    <row r="190" spans="1:8" ht="12.75" hidden="1" customHeight="1">
      <c r="A190" s="159" t="s">
        <v>423</v>
      </c>
      <c r="B190" s="160" t="s">
        <v>424</v>
      </c>
      <c r="C190" s="158">
        <v>0</v>
      </c>
      <c r="D190" s="142">
        <v>0</v>
      </c>
      <c r="E190" s="142">
        <v>0</v>
      </c>
      <c r="F190" s="143">
        <v>0</v>
      </c>
      <c r="G190" s="188">
        <f t="shared" si="10"/>
        <v>0</v>
      </c>
      <c r="H190" s="186">
        <f t="shared" si="6"/>
        <v>0</v>
      </c>
    </row>
    <row r="191" spans="1:8" ht="12.75" hidden="1" customHeight="1">
      <c r="A191" s="159" t="s">
        <v>425</v>
      </c>
      <c r="B191" s="160" t="s">
        <v>107</v>
      </c>
      <c r="C191" s="158">
        <v>0</v>
      </c>
      <c r="D191" s="142">
        <v>0</v>
      </c>
      <c r="E191" s="142">
        <v>0</v>
      </c>
      <c r="F191" s="143">
        <v>0</v>
      </c>
      <c r="G191" s="188">
        <f t="shared" si="10"/>
        <v>0</v>
      </c>
      <c r="H191" s="186">
        <f t="shared" si="6"/>
        <v>0</v>
      </c>
    </row>
    <row r="192" spans="1:8" ht="12.75" hidden="1" customHeight="1">
      <c r="A192" s="159" t="s">
        <v>426</v>
      </c>
      <c r="B192" s="160" t="s">
        <v>427</v>
      </c>
      <c r="C192" s="158">
        <v>0</v>
      </c>
      <c r="D192" s="142">
        <v>0</v>
      </c>
      <c r="E192" s="142">
        <v>0</v>
      </c>
      <c r="F192" s="143">
        <v>0</v>
      </c>
      <c r="G192" s="188">
        <f t="shared" si="10"/>
        <v>0</v>
      </c>
      <c r="H192" s="186">
        <f t="shared" si="6"/>
        <v>0</v>
      </c>
    </row>
    <row r="193" spans="1:8" ht="12.75" hidden="1" customHeight="1">
      <c r="A193" s="159"/>
      <c r="B193" s="160"/>
      <c r="C193" s="141"/>
      <c r="D193" s="142"/>
      <c r="E193" s="142"/>
      <c r="F193" s="143"/>
      <c r="H193" s="186">
        <f t="shared" si="6"/>
        <v>0</v>
      </c>
    </row>
    <row r="194" spans="1:8" ht="12.75" hidden="1" customHeight="1">
      <c r="A194" s="153">
        <v>5.03</v>
      </c>
      <c r="B194" s="154" t="s">
        <v>428</v>
      </c>
      <c r="C194" s="158">
        <v>0</v>
      </c>
      <c r="D194" s="158">
        <v>0</v>
      </c>
      <c r="E194" s="158">
        <v>0</v>
      </c>
      <c r="F194" s="164">
        <v>0</v>
      </c>
      <c r="H194" s="186">
        <f t="shared" si="6"/>
        <v>0</v>
      </c>
    </row>
    <row r="195" spans="1:8" ht="12.75" hidden="1" customHeight="1">
      <c r="A195" s="159" t="s">
        <v>429</v>
      </c>
      <c r="B195" s="160" t="s">
        <v>430</v>
      </c>
      <c r="C195" s="158">
        <v>0</v>
      </c>
      <c r="D195" s="142">
        <v>0</v>
      </c>
      <c r="E195" s="142">
        <v>0</v>
      </c>
      <c r="F195" s="143">
        <v>0</v>
      </c>
      <c r="G195" s="188">
        <f>+D195+E195+F195-C195</f>
        <v>0</v>
      </c>
      <c r="H195" s="186">
        <f t="shared" si="6"/>
        <v>0</v>
      </c>
    </row>
    <row r="196" spans="1:8" ht="12.75" hidden="1" customHeight="1">
      <c r="A196" s="159" t="s">
        <v>431</v>
      </c>
      <c r="B196" s="160" t="s">
        <v>432</v>
      </c>
      <c r="C196" s="158">
        <v>0</v>
      </c>
      <c r="D196" s="142">
        <v>0</v>
      </c>
      <c r="E196" s="142">
        <v>0</v>
      </c>
      <c r="F196" s="143">
        <v>0</v>
      </c>
      <c r="G196" s="188">
        <f>+D196+E196+F196-C196</f>
        <v>0</v>
      </c>
      <c r="H196" s="186">
        <f t="shared" si="6"/>
        <v>0</v>
      </c>
    </row>
    <row r="197" spans="1:8" ht="12.75" hidden="1" customHeight="1">
      <c r="A197" s="159" t="s">
        <v>433</v>
      </c>
      <c r="B197" s="160" t="s">
        <v>434</v>
      </c>
      <c r="C197" s="158">
        <v>0</v>
      </c>
      <c r="D197" s="142">
        <v>0</v>
      </c>
      <c r="E197" s="142">
        <v>0</v>
      </c>
      <c r="F197" s="143">
        <v>0</v>
      </c>
      <c r="G197" s="188">
        <f>+D197+E197+F197-C197</f>
        <v>0</v>
      </c>
      <c r="H197" s="186">
        <f t="shared" si="6"/>
        <v>0</v>
      </c>
    </row>
    <row r="198" spans="1:8" ht="12.75" hidden="1" customHeight="1">
      <c r="A198" s="150"/>
      <c r="B198" s="151"/>
      <c r="C198" s="141"/>
      <c r="D198" s="142"/>
      <c r="E198" s="142"/>
      <c r="F198" s="143"/>
      <c r="H198" s="186">
        <f t="shared" si="6"/>
        <v>0</v>
      </c>
    </row>
    <row r="199" spans="1:8" ht="12.75" hidden="1" customHeight="1">
      <c r="A199" s="153" t="s">
        <v>435</v>
      </c>
      <c r="B199" s="154" t="s">
        <v>436</v>
      </c>
      <c r="C199" s="148">
        <v>0</v>
      </c>
      <c r="D199" s="148">
        <v>0</v>
      </c>
      <c r="E199" s="148">
        <v>0</v>
      </c>
      <c r="F199" s="149">
        <v>0</v>
      </c>
      <c r="H199" s="186">
        <f t="shared" si="6"/>
        <v>0</v>
      </c>
    </row>
    <row r="200" spans="1:8" ht="12.75" hidden="1" customHeight="1">
      <c r="A200" s="159" t="s">
        <v>437</v>
      </c>
      <c r="B200" s="160" t="s">
        <v>438</v>
      </c>
      <c r="C200" s="158">
        <v>0</v>
      </c>
      <c r="D200" s="142">
        <v>0</v>
      </c>
      <c r="E200" s="142">
        <v>0</v>
      </c>
      <c r="F200" s="143">
        <v>0</v>
      </c>
      <c r="G200" s="188">
        <f>+D200+E200+F200-C200</f>
        <v>0</v>
      </c>
      <c r="H200" s="186">
        <f t="shared" si="6"/>
        <v>0</v>
      </c>
    </row>
    <row r="201" spans="1:8" ht="12.75" hidden="1" customHeight="1">
      <c r="A201" s="150" t="s">
        <v>439</v>
      </c>
      <c r="B201" s="151" t="s">
        <v>440</v>
      </c>
      <c r="C201" s="158">
        <v>0</v>
      </c>
      <c r="D201" s="142">
        <v>0</v>
      </c>
      <c r="E201" s="142">
        <v>0</v>
      </c>
      <c r="F201" s="143">
        <v>0</v>
      </c>
      <c r="G201" s="188">
        <f>+D201+E201+F201-C201</f>
        <v>0</v>
      </c>
      <c r="H201" s="186">
        <f t="shared" si="6"/>
        <v>0</v>
      </c>
    </row>
    <row r="202" spans="1:8" ht="12.75" hidden="1" customHeight="1">
      <c r="A202" s="159" t="s">
        <v>441</v>
      </c>
      <c r="B202" s="160" t="s">
        <v>442</v>
      </c>
      <c r="C202" s="158">
        <v>0</v>
      </c>
      <c r="D202" s="142">
        <v>0</v>
      </c>
      <c r="E202" s="142">
        <v>0</v>
      </c>
      <c r="F202" s="143">
        <v>0</v>
      </c>
      <c r="G202" s="188">
        <f>+D202+E202+F202-C202</f>
        <v>0</v>
      </c>
      <c r="H202" s="186">
        <f t="shared" si="6"/>
        <v>0</v>
      </c>
    </row>
    <row r="203" spans="1:8" ht="12.75" hidden="1" customHeight="1">
      <c r="A203" s="150" t="s">
        <v>443</v>
      </c>
      <c r="B203" s="151" t="s">
        <v>444</v>
      </c>
      <c r="C203" s="158">
        <v>0</v>
      </c>
      <c r="D203" s="142">
        <v>0</v>
      </c>
      <c r="E203" s="142">
        <v>0</v>
      </c>
      <c r="F203" s="143">
        <v>0</v>
      </c>
      <c r="G203" s="188">
        <f>+D203+E203+F203-C203</f>
        <v>0</v>
      </c>
      <c r="H203" s="186">
        <f t="shared" si="6"/>
        <v>0</v>
      </c>
    </row>
    <row r="204" spans="1:8" ht="12.75" hidden="1" customHeight="1">
      <c r="A204" s="150"/>
      <c r="B204" s="151"/>
      <c r="C204" s="141"/>
      <c r="D204" s="142"/>
      <c r="E204" s="142"/>
      <c r="F204" s="143"/>
      <c r="H204" s="186">
        <f t="shared" ref="H204:H248" si="11">C204/$C$9</f>
        <v>0</v>
      </c>
    </row>
    <row r="205" spans="1:8" ht="12.75" customHeight="1">
      <c r="A205" s="153">
        <v>6</v>
      </c>
      <c r="B205" s="154" t="s">
        <v>67</v>
      </c>
      <c r="C205" s="148">
        <v>8400000</v>
      </c>
      <c r="D205" s="148">
        <v>0</v>
      </c>
      <c r="E205" s="148">
        <v>8400000</v>
      </c>
      <c r="F205" s="149">
        <v>0</v>
      </c>
      <c r="H205" s="186">
        <f t="shared" si="11"/>
        <v>3.604376743192546E-3</v>
      </c>
    </row>
    <row r="206" spans="1:8" ht="12.75" customHeight="1">
      <c r="A206" s="150"/>
      <c r="B206" s="151"/>
      <c r="C206" s="141"/>
      <c r="D206" s="142"/>
      <c r="E206" s="142"/>
      <c r="F206" s="143"/>
      <c r="H206" s="186">
        <f t="shared" si="11"/>
        <v>0</v>
      </c>
    </row>
    <row r="207" spans="1:8" ht="25.5" hidden="1" customHeight="1">
      <c r="A207" s="153" t="s">
        <v>445</v>
      </c>
      <c r="B207" s="154" t="s">
        <v>446</v>
      </c>
      <c r="C207" s="158">
        <v>0</v>
      </c>
      <c r="D207" s="158">
        <v>0</v>
      </c>
      <c r="E207" s="158">
        <v>0</v>
      </c>
      <c r="F207" s="164">
        <v>0</v>
      </c>
      <c r="H207" s="186">
        <f t="shared" si="11"/>
        <v>0</v>
      </c>
    </row>
    <row r="208" spans="1:8" ht="25.5" hidden="1" customHeight="1">
      <c r="A208" s="159" t="s">
        <v>447</v>
      </c>
      <c r="B208" s="160" t="s">
        <v>448</v>
      </c>
      <c r="C208" s="158">
        <v>0</v>
      </c>
      <c r="D208" s="142">
        <v>0</v>
      </c>
      <c r="E208" s="142">
        <v>0</v>
      </c>
      <c r="F208" s="143">
        <v>0</v>
      </c>
      <c r="G208" s="188">
        <f t="shared" ref="G208:G216" si="12">+D208+E208+F208-C208</f>
        <v>0</v>
      </c>
      <c r="H208" s="186">
        <f t="shared" si="11"/>
        <v>0</v>
      </c>
    </row>
    <row r="209" spans="1:8" ht="25.5" hidden="1" customHeight="1">
      <c r="A209" s="150" t="s">
        <v>449</v>
      </c>
      <c r="B209" s="151" t="s">
        <v>450</v>
      </c>
      <c r="C209" s="158">
        <v>0</v>
      </c>
      <c r="D209" s="142">
        <v>0</v>
      </c>
      <c r="E209" s="142">
        <v>0</v>
      </c>
      <c r="F209" s="143">
        <v>0</v>
      </c>
      <c r="G209" s="188">
        <f t="shared" si="12"/>
        <v>0</v>
      </c>
      <c r="H209" s="186">
        <f t="shared" si="11"/>
        <v>0</v>
      </c>
    </row>
    <row r="210" spans="1:8" ht="25.5" hidden="1" customHeight="1">
      <c r="A210" s="150" t="s">
        <v>451</v>
      </c>
      <c r="B210" s="151" t="s">
        <v>452</v>
      </c>
      <c r="C210" s="158">
        <v>0</v>
      </c>
      <c r="D210" s="142">
        <v>0</v>
      </c>
      <c r="E210" s="142">
        <v>0</v>
      </c>
      <c r="F210" s="143">
        <v>0</v>
      </c>
      <c r="G210" s="188">
        <f t="shared" si="12"/>
        <v>0</v>
      </c>
      <c r="H210" s="186">
        <f t="shared" si="11"/>
        <v>0</v>
      </c>
    </row>
    <row r="211" spans="1:8" ht="25.5" hidden="1" customHeight="1">
      <c r="A211" s="159" t="s">
        <v>453</v>
      </c>
      <c r="B211" s="160" t="s">
        <v>454</v>
      </c>
      <c r="C211" s="158">
        <v>0</v>
      </c>
      <c r="D211" s="142">
        <v>0</v>
      </c>
      <c r="E211" s="142">
        <v>0</v>
      </c>
      <c r="F211" s="143">
        <v>0</v>
      </c>
      <c r="G211" s="188">
        <f t="shared" si="12"/>
        <v>0</v>
      </c>
      <c r="H211" s="186">
        <f t="shared" si="11"/>
        <v>0</v>
      </c>
    </row>
    <row r="212" spans="1:8" ht="25.5" hidden="1" customHeight="1">
      <c r="A212" s="159" t="s">
        <v>455</v>
      </c>
      <c r="B212" s="160" t="s">
        <v>456</v>
      </c>
      <c r="C212" s="158">
        <v>0</v>
      </c>
      <c r="D212" s="142">
        <v>0</v>
      </c>
      <c r="E212" s="142">
        <v>0</v>
      </c>
      <c r="F212" s="143">
        <v>0</v>
      </c>
      <c r="G212" s="188">
        <f t="shared" si="12"/>
        <v>0</v>
      </c>
      <c r="H212" s="186">
        <f t="shared" si="11"/>
        <v>0</v>
      </c>
    </row>
    <row r="213" spans="1:8" ht="25.5" hidden="1" customHeight="1">
      <c r="A213" s="159" t="s">
        <v>457</v>
      </c>
      <c r="B213" s="160" t="s">
        <v>458</v>
      </c>
      <c r="C213" s="158">
        <v>0</v>
      </c>
      <c r="D213" s="142">
        <v>0</v>
      </c>
      <c r="E213" s="142">
        <v>0</v>
      </c>
      <c r="F213" s="143">
        <v>0</v>
      </c>
      <c r="G213" s="188">
        <f t="shared" si="12"/>
        <v>0</v>
      </c>
      <c r="H213" s="186">
        <f t="shared" si="11"/>
        <v>0</v>
      </c>
    </row>
    <row r="214" spans="1:8" ht="12.75" hidden="1" customHeight="1">
      <c r="A214" s="159" t="s">
        <v>459</v>
      </c>
      <c r="B214" s="160" t="s">
        <v>460</v>
      </c>
      <c r="C214" s="158">
        <v>0</v>
      </c>
      <c r="D214" s="142">
        <v>0</v>
      </c>
      <c r="E214" s="142">
        <v>0</v>
      </c>
      <c r="F214" s="143">
        <v>0</v>
      </c>
      <c r="G214" s="188">
        <f t="shared" si="12"/>
        <v>0</v>
      </c>
      <c r="H214" s="186">
        <f t="shared" si="11"/>
        <v>0</v>
      </c>
    </row>
    <row r="215" spans="1:8" ht="12.75" hidden="1" customHeight="1">
      <c r="A215" s="159" t="s">
        <v>461</v>
      </c>
      <c r="B215" s="160" t="s">
        <v>462</v>
      </c>
      <c r="C215" s="158">
        <v>0</v>
      </c>
      <c r="D215" s="142">
        <v>0</v>
      </c>
      <c r="E215" s="142">
        <v>0</v>
      </c>
      <c r="F215" s="143">
        <v>0</v>
      </c>
      <c r="G215" s="188">
        <f t="shared" si="12"/>
        <v>0</v>
      </c>
      <c r="H215" s="186">
        <f t="shared" si="11"/>
        <v>0</v>
      </c>
    </row>
    <row r="216" spans="1:8" ht="12.75" hidden="1" customHeight="1">
      <c r="A216" s="159" t="s">
        <v>463</v>
      </c>
      <c r="B216" s="160" t="s">
        <v>464</v>
      </c>
      <c r="C216" s="158">
        <v>0</v>
      </c>
      <c r="D216" s="142">
        <v>0</v>
      </c>
      <c r="E216" s="142">
        <v>0</v>
      </c>
      <c r="F216" s="143">
        <v>0</v>
      </c>
      <c r="G216" s="188">
        <f t="shared" si="12"/>
        <v>0</v>
      </c>
      <c r="H216" s="186">
        <f t="shared" si="11"/>
        <v>0</v>
      </c>
    </row>
    <row r="217" spans="1:8" ht="12.75" hidden="1" customHeight="1">
      <c r="A217" s="150"/>
      <c r="B217" s="151"/>
      <c r="C217" s="141"/>
      <c r="D217" s="142"/>
      <c r="E217" s="142"/>
      <c r="F217" s="143"/>
      <c r="H217" s="186">
        <f t="shared" si="11"/>
        <v>0</v>
      </c>
    </row>
    <row r="218" spans="1:8" ht="25.5" hidden="1" customHeight="1">
      <c r="A218" s="153">
        <v>6.02</v>
      </c>
      <c r="B218" s="154" t="s">
        <v>465</v>
      </c>
      <c r="C218" s="158">
        <v>0</v>
      </c>
      <c r="D218" s="158">
        <v>0</v>
      </c>
      <c r="E218" s="158">
        <v>0</v>
      </c>
      <c r="F218" s="164">
        <v>0</v>
      </c>
      <c r="H218" s="186">
        <f t="shared" si="11"/>
        <v>0</v>
      </c>
    </row>
    <row r="219" spans="1:8" ht="12.75" hidden="1" customHeight="1">
      <c r="A219" s="159" t="s">
        <v>466</v>
      </c>
      <c r="B219" s="160" t="s">
        <v>467</v>
      </c>
      <c r="C219" s="158">
        <v>0</v>
      </c>
      <c r="D219" s="142">
        <v>0</v>
      </c>
      <c r="E219" s="142">
        <v>0</v>
      </c>
      <c r="F219" s="143">
        <v>0</v>
      </c>
      <c r="G219" s="188">
        <f>+D219+E219+F219-C219</f>
        <v>0</v>
      </c>
      <c r="H219" s="186">
        <f t="shared" si="11"/>
        <v>0</v>
      </c>
    </row>
    <row r="220" spans="1:8" ht="12.75" hidden="1" customHeight="1">
      <c r="A220" s="159" t="s">
        <v>468</v>
      </c>
      <c r="B220" s="160" t="s">
        <v>469</v>
      </c>
      <c r="C220" s="158">
        <v>0</v>
      </c>
      <c r="D220" s="142">
        <v>0</v>
      </c>
      <c r="E220" s="142">
        <v>0</v>
      </c>
      <c r="F220" s="143">
        <v>0</v>
      </c>
      <c r="G220" s="188">
        <f>+D220+E220+F220-C220</f>
        <v>0</v>
      </c>
      <c r="H220" s="186">
        <f t="shared" si="11"/>
        <v>0</v>
      </c>
    </row>
    <row r="221" spans="1:8" ht="12.75" hidden="1" customHeight="1">
      <c r="A221" s="159" t="s">
        <v>470</v>
      </c>
      <c r="B221" s="160" t="s">
        <v>471</v>
      </c>
      <c r="C221" s="158">
        <v>0</v>
      </c>
      <c r="D221" s="142">
        <v>0</v>
      </c>
      <c r="E221" s="142">
        <v>0</v>
      </c>
      <c r="F221" s="143">
        <v>0</v>
      </c>
      <c r="G221" s="188">
        <f>+D221+E221+F221-C221</f>
        <v>0</v>
      </c>
      <c r="H221" s="186">
        <f t="shared" si="11"/>
        <v>0</v>
      </c>
    </row>
    <row r="222" spans="1:8" ht="12.75" hidden="1" customHeight="1">
      <c r="A222" s="159" t="s">
        <v>472</v>
      </c>
      <c r="B222" s="160" t="s">
        <v>473</v>
      </c>
      <c r="C222" s="158">
        <v>0</v>
      </c>
      <c r="D222" s="142">
        <v>0</v>
      </c>
      <c r="E222" s="142">
        <v>0</v>
      </c>
      <c r="F222" s="143">
        <v>0</v>
      </c>
      <c r="G222" s="188">
        <f>+D222+E222+F222-C222</f>
        <v>0</v>
      </c>
      <c r="H222" s="186">
        <f t="shared" si="11"/>
        <v>0</v>
      </c>
    </row>
    <row r="223" spans="1:8" ht="12.75" hidden="1" customHeight="1">
      <c r="A223" s="159"/>
      <c r="B223" s="160"/>
      <c r="C223" s="141"/>
      <c r="D223" s="142"/>
      <c r="E223" s="142"/>
      <c r="F223" s="143"/>
      <c r="H223" s="186">
        <f t="shared" si="11"/>
        <v>0</v>
      </c>
    </row>
    <row r="224" spans="1:8" ht="12.75" hidden="1" customHeight="1">
      <c r="A224" s="153">
        <v>6.03</v>
      </c>
      <c r="B224" s="154" t="s">
        <v>474</v>
      </c>
      <c r="C224" s="148">
        <v>0</v>
      </c>
      <c r="D224" s="148">
        <v>0</v>
      </c>
      <c r="E224" s="148">
        <v>0</v>
      </c>
      <c r="F224" s="149">
        <v>0</v>
      </c>
      <c r="H224" s="186">
        <f t="shared" si="11"/>
        <v>0</v>
      </c>
    </row>
    <row r="225" spans="1:8" ht="12.75" hidden="1" customHeight="1">
      <c r="A225" s="159" t="s">
        <v>475</v>
      </c>
      <c r="B225" s="160" t="s">
        <v>476</v>
      </c>
      <c r="C225" s="158">
        <v>0</v>
      </c>
      <c r="D225" s="142">
        <v>0</v>
      </c>
      <c r="E225" s="142">
        <v>0</v>
      </c>
      <c r="F225" s="143">
        <v>0</v>
      </c>
      <c r="G225" s="188">
        <f t="shared" ref="G225:G230" si="13">+D225+E225+F225-C225</f>
        <v>0</v>
      </c>
      <c r="H225" s="186">
        <f t="shared" si="11"/>
        <v>0</v>
      </c>
    </row>
    <row r="226" spans="1:8" ht="12.75" hidden="1" customHeight="1">
      <c r="A226" s="159" t="s">
        <v>477</v>
      </c>
      <c r="B226" s="160" t="s">
        <v>478</v>
      </c>
      <c r="C226" s="158">
        <v>0</v>
      </c>
      <c r="D226" s="142">
        <v>0</v>
      </c>
      <c r="E226" s="142">
        <v>0</v>
      </c>
      <c r="F226" s="143">
        <v>0</v>
      </c>
      <c r="G226" s="188">
        <f t="shared" si="13"/>
        <v>0</v>
      </c>
      <c r="H226" s="186">
        <f t="shared" si="11"/>
        <v>0</v>
      </c>
    </row>
    <row r="227" spans="1:8" ht="12.75" hidden="1" customHeight="1">
      <c r="A227" s="159" t="s">
        <v>479</v>
      </c>
      <c r="B227" s="160" t="s">
        <v>480</v>
      </c>
      <c r="C227" s="158">
        <v>0</v>
      </c>
      <c r="D227" s="142">
        <v>0</v>
      </c>
      <c r="E227" s="142">
        <v>0</v>
      </c>
      <c r="F227" s="143">
        <v>0</v>
      </c>
      <c r="G227" s="188">
        <f t="shared" si="13"/>
        <v>0</v>
      </c>
      <c r="H227" s="186">
        <f t="shared" si="11"/>
        <v>0</v>
      </c>
    </row>
    <row r="228" spans="1:8" ht="25.5" hidden="1" customHeight="1">
      <c r="A228" s="159" t="s">
        <v>481</v>
      </c>
      <c r="B228" s="160" t="s">
        <v>482</v>
      </c>
      <c r="C228" s="158">
        <v>0</v>
      </c>
      <c r="D228" s="142">
        <v>0</v>
      </c>
      <c r="E228" s="142">
        <v>0</v>
      </c>
      <c r="F228" s="143">
        <v>0</v>
      </c>
      <c r="G228" s="188">
        <f t="shared" si="13"/>
        <v>0</v>
      </c>
      <c r="H228" s="186">
        <f t="shared" si="11"/>
        <v>0</v>
      </c>
    </row>
    <row r="229" spans="1:8" ht="25.5" hidden="1" customHeight="1">
      <c r="A229" s="150"/>
      <c r="B229" s="151"/>
      <c r="C229" s="158">
        <v>0</v>
      </c>
      <c r="D229" s="142">
        <v>0</v>
      </c>
      <c r="E229" s="142">
        <v>0</v>
      </c>
      <c r="F229" s="143">
        <v>0</v>
      </c>
      <c r="G229" s="188">
        <f t="shared" si="13"/>
        <v>0</v>
      </c>
      <c r="H229" s="186">
        <f t="shared" si="11"/>
        <v>0</v>
      </c>
    </row>
    <row r="230" spans="1:8" ht="12.75" hidden="1" customHeight="1">
      <c r="A230" s="159" t="s">
        <v>483</v>
      </c>
      <c r="B230" s="160" t="s">
        <v>484</v>
      </c>
      <c r="C230" s="158">
        <v>0</v>
      </c>
      <c r="D230" s="142">
        <v>0</v>
      </c>
      <c r="E230" s="142">
        <v>0</v>
      </c>
      <c r="F230" s="143">
        <v>0</v>
      </c>
      <c r="G230" s="188">
        <f t="shared" si="13"/>
        <v>0</v>
      </c>
      <c r="H230" s="186">
        <f t="shared" si="11"/>
        <v>0</v>
      </c>
    </row>
    <row r="231" spans="1:8" ht="12.75" hidden="1" customHeight="1">
      <c r="A231" s="159"/>
      <c r="B231" s="160"/>
      <c r="C231" s="141"/>
      <c r="D231" s="142"/>
      <c r="E231" s="142"/>
      <c r="F231" s="143"/>
      <c r="H231" s="186">
        <f t="shared" si="11"/>
        <v>0</v>
      </c>
    </row>
    <row r="232" spans="1:8" ht="38.25" hidden="1" customHeight="1">
      <c r="A232" s="153">
        <v>6.04</v>
      </c>
      <c r="B232" s="154" t="s">
        <v>485</v>
      </c>
      <c r="C232" s="158">
        <v>0</v>
      </c>
      <c r="D232" s="158">
        <v>0</v>
      </c>
      <c r="E232" s="158">
        <v>0</v>
      </c>
      <c r="F232" s="164">
        <v>0</v>
      </c>
      <c r="H232" s="186">
        <f t="shared" si="11"/>
        <v>0</v>
      </c>
    </row>
    <row r="233" spans="1:8" ht="12.75" hidden="1" customHeight="1">
      <c r="A233" s="159" t="s">
        <v>486</v>
      </c>
      <c r="B233" s="160" t="s">
        <v>487</v>
      </c>
      <c r="C233" s="158">
        <v>0</v>
      </c>
      <c r="D233" s="142">
        <v>0</v>
      </c>
      <c r="E233" s="142">
        <v>0</v>
      </c>
      <c r="F233" s="143">
        <v>0</v>
      </c>
      <c r="G233" s="188">
        <f>+D233+E233+F233-C233</f>
        <v>0</v>
      </c>
      <c r="H233" s="186">
        <f t="shared" si="11"/>
        <v>0</v>
      </c>
    </row>
    <row r="234" spans="1:8" ht="12.75" hidden="1" customHeight="1">
      <c r="A234" s="159" t="s">
        <v>488</v>
      </c>
      <c r="B234" s="160" t="s">
        <v>489</v>
      </c>
      <c r="C234" s="158">
        <v>0</v>
      </c>
      <c r="D234" s="142">
        <v>0</v>
      </c>
      <c r="E234" s="142">
        <v>0</v>
      </c>
      <c r="F234" s="143">
        <v>0</v>
      </c>
      <c r="G234" s="188">
        <f>+D234+E234+F234-C234</f>
        <v>0</v>
      </c>
      <c r="H234" s="186">
        <f t="shared" si="11"/>
        <v>0</v>
      </c>
    </row>
    <row r="235" spans="1:8" ht="12.75" hidden="1" customHeight="1">
      <c r="A235" s="159" t="s">
        <v>490</v>
      </c>
      <c r="B235" s="160" t="s">
        <v>491</v>
      </c>
      <c r="C235" s="158">
        <v>0</v>
      </c>
      <c r="D235" s="142">
        <v>0</v>
      </c>
      <c r="E235" s="142">
        <v>0</v>
      </c>
      <c r="F235" s="143">
        <v>0</v>
      </c>
      <c r="G235" s="188">
        <f>+D235+E235+F235-C235</f>
        <v>0</v>
      </c>
      <c r="H235" s="186">
        <f t="shared" si="11"/>
        <v>0</v>
      </c>
    </row>
    <row r="236" spans="1:8" ht="25.5" hidden="1" customHeight="1">
      <c r="A236" s="150" t="s">
        <v>492</v>
      </c>
      <c r="B236" s="151" t="s">
        <v>493</v>
      </c>
      <c r="C236" s="158">
        <v>0</v>
      </c>
      <c r="D236" s="142">
        <v>0</v>
      </c>
      <c r="E236" s="142">
        <v>0</v>
      </c>
      <c r="F236" s="143">
        <v>0</v>
      </c>
      <c r="G236" s="188">
        <f>+D236+E236+F236-C236</f>
        <v>0</v>
      </c>
      <c r="H236" s="186">
        <f t="shared" si="11"/>
        <v>0</v>
      </c>
    </row>
    <row r="237" spans="1:8" ht="12.75" hidden="1" customHeight="1">
      <c r="A237" s="159"/>
      <c r="B237" s="160"/>
      <c r="C237" s="141"/>
      <c r="D237" s="142"/>
      <c r="E237" s="142"/>
      <c r="F237" s="143"/>
      <c r="H237" s="186">
        <f t="shared" si="11"/>
        <v>0</v>
      </c>
    </row>
    <row r="238" spans="1:8" ht="25.5" hidden="1" customHeight="1">
      <c r="A238" s="153">
        <v>6.05</v>
      </c>
      <c r="B238" s="154" t="s">
        <v>494</v>
      </c>
      <c r="C238" s="158">
        <v>0</v>
      </c>
      <c r="D238" s="158">
        <v>0</v>
      </c>
      <c r="E238" s="158">
        <v>0</v>
      </c>
      <c r="F238" s="164">
        <v>0</v>
      </c>
      <c r="H238" s="186">
        <f t="shared" si="11"/>
        <v>0</v>
      </c>
    </row>
    <row r="239" spans="1:8" ht="25.5" hidden="1" customHeight="1">
      <c r="A239" s="159" t="s">
        <v>495</v>
      </c>
      <c r="B239" s="160" t="s">
        <v>496</v>
      </c>
      <c r="C239" s="158">
        <v>0</v>
      </c>
      <c r="D239" s="142">
        <v>0</v>
      </c>
      <c r="E239" s="142">
        <v>0</v>
      </c>
      <c r="F239" s="143">
        <v>0</v>
      </c>
      <c r="G239" s="188">
        <f>+D239+E239+F239-C239</f>
        <v>0</v>
      </c>
      <c r="H239" s="186">
        <f t="shared" si="11"/>
        <v>0</v>
      </c>
    </row>
    <row r="240" spans="1:8" ht="12.75" hidden="1" customHeight="1">
      <c r="A240" s="159"/>
      <c r="B240" s="160"/>
      <c r="C240" s="141"/>
      <c r="D240" s="142"/>
      <c r="E240" s="142"/>
      <c r="F240" s="143"/>
      <c r="G240" s="188">
        <f>+D240+E240+F240-C240</f>
        <v>0</v>
      </c>
      <c r="H240" s="186">
        <f t="shared" si="11"/>
        <v>0</v>
      </c>
    </row>
    <row r="241" spans="1:8" ht="25.5" hidden="1" customHeight="1">
      <c r="A241" s="153">
        <v>6.06</v>
      </c>
      <c r="B241" s="154" t="s">
        <v>497</v>
      </c>
      <c r="C241" s="148">
        <v>0</v>
      </c>
      <c r="D241" s="148">
        <v>0</v>
      </c>
      <c r="E241" s="148">
        <v>0</v>
      </c>
      <c r="F241" s="149">
        <v>0</v>
      </c>
      <c r="G241" s="188">
        <f>+D241+E241+F241-C241</f>
        <v>0</v>
      </c>
      <c r="H241" s="186">
        <f t="shared" si="11"/>
        <v>0</v>
      </c>
    </row>
    <row r="242" spans="1:8" ht="12.75" hidden="1" customHeight="1">
      <c r="A242" s="159" t="s">
        <v>498</v>
      </c>
      <c r="B242" s="160" t="s">
        <v>499</v>
      </c>
      <c r="C242" s="158">
        <v>0</v>
      </c>
      <c r="D242" s="142">
        <v>0</v>
      </c>
      <c r="E242" s="142">
        <v>0</v>
      </c>
      <c r="F242" s="143">
        <v>0</v>
      </c>
      <c r="G242" s="188">
        <f>+D242+E242+F242-C242</f>
        <v>0</v>
      </c>
      <c r="H242" s="186">
        <f t="shared" si="11"/>
        <v>0</v>
      </c>
    </row>
    <row r="243" spans="1:8" ht="12.75" hidden="1" customHeight="1">
      <c r="A243" s="159" t="s">
        <v>500</v>
      </c>
      <c r="B243" s="160" t="s">
        <v>501</v>
      </c>
      <c r="C243" s="158">
        <v>0</v>
      </c>
      <c r="D243" s="142">
        <v>0</v>
      </c>
      <c r="E243" s="142">
        <v>0</v>
      </c>
      <c r="F243" s="143">
        <v>0</v>
      </c>
      <c r="G243" s="188">
        <f>+D243+E243+F243-C243</f>
        <v>0</v>
      </c>
      <c r="H243" s="186">
        <f t="shared" si="11"/>
        <v>0</v>
      </c>
    </row>
    <row r="244" spans="1:8" ht="12.75" hidden="1" customHeight="1">
      <c r="A244" s="150"/>
      <c r="B244" s="151"/>
      <c r="C244" s="141"/>
      <c r="D244" s="142"/>
      <c r="E244" s="142"/>
      <c r="F244" s="143"/>
      <c r="H244" s="186">
        <f t="shared" si="11"/>
        <v>0</v>
      </c>
    </row>
    <row r="245" spans="1:8" ht="25.5" customHeight="1">
      <c r="A245" s="153" t="s">
        <v>502</v>
      </c>
      <c r="B245" s="154" t="s">
        <v>503</v>
      </c>
      <c r="C245" s="148">
        <v>8400000</v>
      </c>
      <c r="D245" s="148">
        <v>0</v>
      </c>
      <c r="E245" s="148">
        <v>8400000</v>
      </c>
      <c r="F245" s="149">
        <v>0</v>
      </c>
      <c r="H245" s="186">
        <f t="shared" si="11"/>
        <v>3.604376743192546E-3</v>
      </c>
    </row>
    <row r="246" spans="1:8" ht="26.25" customHeight="1">
      <c r="A246" s="150" t="s">
        <v>504</v>
      </c>
      <c r="B246" s="151" t="s">
        <v>505</v>
      </c>
      <c r="C246" s="158">
        <v>8400000</v>
      </c>
      <c r="D246" s="142">
        <v>0</v>
      </c>
      <c r="E246" s="142">
        <v>8400000</v>
      </c>
      <c r="F246" s="143">
        <v>0</v>
      </c>
      <c r="G246" s="188">
        <f>+D246+E246+F246-C246</f>
        <v>0</v>
      </c>
      <c r="H246" s="186">
        <f t="shared" si="11"/>
        <v>3.604376743192546E-3</v>
      </c>
    </row>
    <row r="247" spans="1:8" ht="25.5" hidden="1" customHeight="1">
      <c r="A247" s="159" t="s">
        <v>506</v>
      </c>
      <c r="B247" s="160" t="s">
        <v>507</v>
      </c>
      <c r="C247" s="158">
        <v>0</v>
      </c>
      <c r="D247" s="142">
        <v>0</v>
      </c>
      <c r="E247" s="142">
        <v>0</v>
      </c>
      <c r="F247" s="143">
        <v>0</v>
      </c>
      <c r="G247" s="188">
        <f>+D247+E247+F247-C247</f>
        <v>0</v>
      </c>
      <c r="H247" s="186">
        <f t="shared" si="11"/>
        <v>0</v>
      </c>
    </row>
    <row r="248" spans="1:8" ht="12.75" hidden="1" customHeight="1">
      <c r="A248" s="150"/>
      <c r="B248" s="151"/>
      <c r="C248" s="141"/>
      <c r="D248" s="142"/>
      <c r="E248" s="142"/>
      <c r="F248" s="143"/>
      <c r="H248" s="186">
        <f t="shared" si="11"/>
        <v>0</v>
      </c>
    </row>
    <row r="249" spans="1:8" ht="12.75" hidden="1" customHeight="1">
      <c r="A249" s="153">
        <v>9</v>
      </c>
      <c r="B249" s="154" t="s">
        <v>508</v>
      </c>
      <c r="C249" s="158">
        <v>0</v>
      </c>
      <c r="D249" s="158">
        <v>0</v>
      </c>
      <c r="E249" s="158">
        <v>0</v>
      </c>
      <c r="F249" s="164">
        <v>0</v>
      </c>
      <c r="H249" s="186">
        <f t="shared" ref="H249:H256" si="14">C251/$C$9</f>
        <v>0</v>
      </c>
    </row>
    <row r="250" spans="1:8" ht="12.75" hidden="1" customHeight="1">
      <c r="A250" s="150"/>
      <c r="B250" s="151"/>
      <c r="C250" s="141"/>
      <c r="D250" s="142"/>
      <c r="E250" s="142"/>
      <c r="F250" s="143"/>
      <c r="H250" s="186">
        <f t="shared" si="14"/>
        <v>0</v>
      </c>
    </row>
    <row r="251" spans="1:8" ht="12.75" hidden="1" customHeight="1">
      <c r="A251" s="153">
        <v>9.01</v>
      </c>
      <c r="B251" s="154" t="s">
        <v>509</v>
      </c>
      <c r="C251" s="158">
        <v>0</v>
      </c>
      <c r="D251" s="158">
        <v>0</v>
      </c>
      <c r="E251" s="158">
        <v>0</v>
      </c>
      <c r="F251" s="164">
        <v>0</v>
      </c>
      <c r="H251" s="186">
        <f t="shared" si="14"/>
        <v>0</v>
      </c>
    </row>
    <row r="252" spans="1:8" ht="12.75" hidden="1" customHeight="1">
      <c r="A252" s="159" t="s">
        <v>510</v>
      </c>
      <c r="B252" s="160" t="s">
        <v>511</v>
      </c>
      <c r="C252" s="158">
        <v>0</v>
      </c>
      <c r="D252" s="142">
        <v>0</v>
      </c>
      <c r="E252" s="142">
        <v>0</v>
      </c>
      <c r="F252" s="143">
        <v>0</v>
      </c>
      <c r="G252" s="188">
        <f>+D252+E252+F252-C252</f>
        <v>0</v>
      </c>
      <c r="H252" s="186">
        <f t="shared" si="14"/>
        <v>0</v>
      </c>
    </row>
    <row r="253" spans="1:8" ht="12.75" hidden="1" customHeight="1">
      <c r="A253" s="159"/>
      <c r="B253" s="160"/>
      <c r="C253" s="141"/>
      <c r="D253" s="142"/>
      <c r="E253" s="142"/>
      <c r="F253" s="143"/>
      <c r="H253" s="186">
        <f t="shared" si="14"/>
        <v>0</v>
      </c>
    </row>
    <row r="254" spans="1:8" ht="25.5" hidden="1" customHeight="1">
      <c r="A254" s="153" t="s">
        <v>512</v>
      </c>
      <c r="B254" s="154" t="s">
        <v>513</v>
      </c>
      <c r="C254" s="158">
        <v>0</v>
      </c>
      <c r="D254" s="158">
        <v>0</v>
      </c>
      <c r="E254" s="158">
        <v>0</v>
      </c>
      <c r="F254" s="164">
        <v>0</v>
      </c>
      <c r="H254" s="186">
        <f t="shared" si="14"/>
        <v>0</v>
      </c>
    </row>
    <row r="255" spans="1:8" ht="12.75" hidden="1" customHeight="1">
      <c r="A255" s="150" t="s">
        <v>514</v>
      </c>
      <c r="B255" s="151" t="s">
        <v>515</v>
      </c>
      <c r="C255" s="158">
        <v>0</v>
      </c>
      <c r="D255" s="142">
        <v>0</v>
      </c>
      <c r="E255" s="142">
        <v>0</v>
      </c>
      <c r="F255" s="143">
        <v>0</v>
      </c>
      <c r="G255" s="188">
        <f>+D255+E255+F255-C255</f>
        <v>0</v>
      </c>
      <c r="H255" s="186">
        <f t="shared" si="14"/>
        <v>0</v>
      </c>
    </row>
    <row r="256" spans="1:8" ht="25.5" hidden="1" customHeight="1">
      <c r="A256" s="150" t="s">
        <v>516</v>
      </c>
      <c r="B256" s="151" t="s">
        <v>517</v>
      </c>
      <c r="C256" s="158">
        <v>0</v>
      </c>
      <c r="D256" s="142">
        <v>0</v>
      </c>
      <c r="E256" s="142">
        <v>0</v>
      </c>
      <c r="F256" s="143">
        <v>0</v>
      </c>
      <c r="G256" s="188">
        <f>+D256+E256+F256-C256</f>
        <v>0</v>
      </c>
      <c r="H256" s="186">
        <f t="shared" si="14"/>
        <v>0</v>
      </c>
    </row>
    <row r="257" spans="1:6" ht="13.5" customHeight="1" thickBot="1">
      <c r="A257" s="168"/>
      <c r="B257" s="169"/>
      <c r="C257" s="166"/>
      <c r="D257" s="166"/>
      <c r="E257" s="166"/>
      <c r="F257" s="167"/>
    </row>
  </sheetData>
  <mergeCells count="8">
    <mergeCell ref="A1:F1"/>
    <mergeCell ref="A2:F2"/>
    <mergeCell ref="A3:F3"/>
    <mergeCell ref="A4:F4"/>
    <mergeCell ref="A6:A8"/>
    <mergeCell ref="B6:B8"/>
    <mergeCell ref="C6:F6"/>
    <mergeCell ref="C7:C8"/>
  </mergeCells>
  <printOptions horizontalCentered="1"/>
  <pageMargins left="0.39370078740157483" right="0.39370078740157483" top="0.59055118110236227" bottom="0" header="0.19685039370078741" footer="0"/>
  <pageSetup scale="85" fitToHeight="2" orientation="landscape" r:id="rId1"/>
  <headerFooter alignWithMargins="0">
    <oddHeader>&amp;L&amp;G</oddHeader>
  </headerFooter>
  <rowBreaks count="3" manualBreakCount="3">
    <brk id="47" max="5" man="1"/>
    <brk id="126" max="5" man="1"/>
    <brk id="170"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293"/>
  <sheetViews>
    <sheetView topLeftCell="A13" zoomScaleNormal="100" workbookViewId="0">
      <selection activeCell="B103" sqref="B103"/>
    </sheetView>
  </sheetViews>
  <sheetFormatPr baseColWidth="10" defaultRowHeight="12.75"/>
  <cols>
    <col min="1" max="1" width="8.140625" style="127" customWidth="1"/>
    <col min="2" max="2" width="47.140625" style="225" customWidth="1"/>
    <col min="3" max="3" width="23.42578125" style="193" customWidth="1"/>
    <col min="4" max="4" width="19.7109375" style="193" customWidth="1"/>
    <col min="5" max="5" width="19.85546875" style="193" customWidth="1"/>
    <col min="6" max="6" width="19.7109375" style="193" customWidth="1"/>
    <col min="7" max="7" width="13.7109375" style="194" bestFit="1" customWidth="1"/>
    <col min="8" max="8" width="15.85546875" style="194" hidden="1" customWidth="1"/>
    <col min="9" max="9" width="15.7109375" style="194" hidden="1" customWidth="1"/>
    <col min="10" max="10" width="14.28515625" style="194" hidden="1" customWidth="1"/>
    <col min="11" max="11" width="16.42578125" style="194" hidden="1" customWidth="1"/>
    <col min="12" max="13" width="11.85546875" style="194" hidden="1" customWidth="1"/>
    <col min="14" max="14" width="0" style="194" hidden="1" customWidth="1"/>
    <col min="15" max="16384" width="11.42578125" style="194"/>
  </cols>
  <sheetData>
    <row r="1" spans="1:15">
      <c r="A1" s="247" t="s">
        <v>0</v>
      </c>
      <c r="B1" s="247"/>
      <c r="C1" s="247"/>
      <c r="D1" s="247"/>
      <c r="E1" s="247"/>
      <c r="F1" s="247"/>
    </row>
    <row r="2" spans="1:15">
      <c r="A2" s="247" t="s">
        <v>519</v>
      </c>
      <c r="B2" s="247"/>
      <c r="C2" s="247"/>
      <c r="D2" s="247"/>
      <c r="E2" s="247"/>
      <c r="F2" s="247"/>
      <c r="H2" s="195" t="e">
        <f>+D8/C9</f>
        <v>#VALUE!</v>
      </c>
      <c r="I2" s="195" t="e">
        <f>+E8/C9</f>
        <v>#VALUE!</v>
      </c>
      <c r="J2" s="195" t="e">
        <f>+F8/C9</f>
        <v>#VALUE!</v>
      </c>
    </row>
    <row r="3" spans="1:15">
      <c r="A3" s="247" t="s">
        <v>520</v>
      </c>
      <c r="B3" s="247"/>
      <c r="C3" s="247"/>
      <c r="D3" s="247"/>
      <c r="E3" s="247"/>
      <c r="F3" s="247"/>
    </row>
    <row r="4" spans="1:15">
      <c r="A4" s="247" t="s">
        <v>120</v>
      </c>
      <c r="B4" s="247"/>
      <c r="C4" s="247"/>
      <c r="D4" s="247"/>
      <c r="E4" s="247"/>
      <c r="F4" s="247"/>
      <c r="H4" s="196" t="s">
        <v>521</v>
      </c>
      <c r="I4" s="197"/>
      <c r="J4" s="197"/>
      <c r="K4" s="197"/>
    </row>
    <row r="5" spans="1:15" s="172" customFormat="1" ht="13.5" thickBot="1">
      <c r="A5" s="247"/>
      <c r="B5" s="247"/>
      <c r="C5" s="247"/>
      <c r="D5" s="247"/>
      <c r="E5" s="247"/>
      <c r="F5" s="247"/>
      <c r="H5" s="198"/>
      <c r="I5" s="198"/>
      <c r="J5" s="198"/>
      <c r="K5" s="198"/>
    </row>
    <row r="6" spans="1:15" ht="12.75" customHeight="1" thickBot="1">
      <c r="A6" s="249" t="s">
        <v>121</v>
      </c>
      <c r="B6" s="251" t="s">
        <v>122</v>
      </c>
      <c r="C6" s="260" t="s">
        <v>522</v>
      </c>
      <c r="D6" s="261"/>
      <c r="E6" s="261"/>
      <c r="F6" s="262"/>
      <c r="H6" s="265" t="s">
        <v>124</v>
      </c>
      <c r="I6" s="199" t="s">
        <v>125</v>
      </c>
      <c r="J6" s="199" t="s">
        <v>125</v>
      </c>
      <c r="K6" s="199" t="s">
        <v>125</v>
      </c>
    </row>
    <row r="7" spans="1:15" ht="13.5" customHeight="1" thickBot="1">
      <c r="A7" s="250"/>
      <c r="B7" s="258"/>
      <c r="C7" s="263" t="s">
        <v>124</v>
      </c>
      <c r="D7" s="177" t="s">
        <v>125</v>
      </c>
      <c r="E7" s="177" t="s">
        <v>125</v>
      </c>
      <c r="F7" s="178" t="s">
        <v>125</v>
      </c>
      <c r="G7" s="200"/>
      <c r="H7" s="266"/>
      <c r="I7" s="201" t="s">
        <v>10</v>
      </c>
      <c r="J7" s="201" t="s">
        <v>11</v>
      </c>
      <c r="K7" s="201" t="s">
        <v>12</v>
      </c>
    </row>
    <row r="8" spans="1:15" ht="13.5" thickBot="1">
      <c r="A8" s="257"/>
      <c r="B8" s="259"/>
      <c r="C8" s="264"/>
      <c r="D8" s="179" t="s">
        <v>10</v>
      </c>
      <c r="E8" s="179" t="s">
        <v>11</v>
      </c>
      <c r="F8" s="180" t="s">
        <v>12</v>
      </c>
      <c r="H8" s="202">
        <f>+H11+H52+H127+H171+H204+H249+H248</f>
        <v>0</v>
      </c>
      <c r="I8" s="202">
        <f>+I11+I52+I127+I171+I204+I249+I248</f>
        <v>0</v>
      </c>
      <c r="J8" s="202">
        <f>+J11+J52+J127+J171+J204+J249+J248</f>
        <v>0</v>
      </c>
      <c r="K8" s="202">
        <f>+K11+K52+K127+K171+K204+K249+K248</f>
        <v>0</v>
      </c>
      <c r="L8" s="203">
        <f>SUM(I8:K8)-H8</f>
        <v>0</v>
      </c>
      <c r="M8" s="203">
        <f>+H8-C9/1000</f>
        <v>-1055376.102</v>
      </c>
    </row>
    <row r="9" spans="1:15" ht="27" customHeight="1" thickBot="1">
      <c r="A9" s="181"/>
      <c r="B9" s="182" t="s">
        <v>126</v>
      </c>
      <c r="C9" s="183">
        <v>1055376102</v>
      </c>
      <c r="D9" s="183">
        <v>604382848.67000008</v>
      </c>
      <c r="E9" s="183">
        <v>285869149.89999998</v>
      </c>
      <c r="F9" s="184">
        <v>165124103.43000001</v>
      </c>
      <c r="H9" s="204"/>
      <c r="I9" s="204"/>
      <c r="J9" s="204"/>
      <c r="K9" s="204"/>
      <c r="L9" s="203">
        <f t="shared" ref="L9:L72" si="0">SUM(I9:K9)-H9</f>
        <v>0</v>
      </c>
      <c r="M9" s="203">
        <f>+H9-C10/1000</f>
        <v>0</v>
      </c>
    </row>
    <row r="10" spans="1:15">
      <c r="A10" s="144"/>
      <c r="B10" s="145"/>
      <c r="C10" s="136"/>
      <c r="D10" s="146"/>
      <c r="E10" s="146"/>
      <c r="F10" s="147"/>
      <c r="H10" s="205">
        <f t="shared" ref="H10:K40" si="1">+C10/1000</f>
        <v>0</v>
      </c>
      <c r="I10" s="205">
        <f t="shared" si="1"/>
        <v>0</v>
      </c>
      <c r="J10" s="205">
        <f>+E10/1000</f>
        <v>0</v>
      </c>
      <c r="K10" s="205">
        <f>+F10/1000</f>
        <v>0</v>
      </c>
      <c r="L10" s="203">
        <f t="shared" si="0"/>
        <v>0</v>
      </c>
      <c r="M10" s="203" t="e">
        <f>+H10-#REF!/1000</f>
        <v>#REF!</v>
      </c>
    </row>
    <row r="11" spans="1:15" s="206" customFormat="1">
      <c r="A11" s="150"/>
      <c r="B11" s="151"/>
      <c r="C11" s="141"/>
      <c r="D11" s="142"/>
      <c r="E11" s="142"/>
      <c r="F11" s="143"/>
      <c r="H11" s="207">
        <f t="shared" si="1"/>
        <v>0</v>
      </c>
      <c r="I11" s="207">
        <f t="shared" si="1"/>
        <v>0</v>
      </c>
      <c r="J11" s="207">
        <f t="shared" si="1"/>
        <v>0</v>
      </c>
      <c r="K11" s="207">
        <f t="shared" si="1"/>
        <v>0</v>
      </c>
      <c r="L11" s="203">
        <f t="shared" si="0"/>
        <v>0</v>
      </c>
      <c r="M11" s="203">
        <f t="shared" ref="M11:M74" si="2">+H12-C12/1000</f>
        <v>0</v>
      </c>
    </row>
    <row r="12" spans="1:15" ht="13.5" customHeight="1">
      <c r="A12" s="153">
        <v>0</v>
      </c>
      <c r="B12" s="154" t="s">
        <v>127</v>
      </c>
      <c r="C12" s="148">
        <v>2162873.2799999998</v>
      </c>
      <c r="D12" s="148">
        <v>0</v>
      </c>
      <c r="E12" s="148">
        <v>2162873.2799999998</v>
      </c>
      <c r="F12" s="149">
        <v>0</v>
      </c>
      <c r="H12" s="205">
        <f t="shared" si="1"/>
        <v>2162.8732799999998</v>
      </c>
      <c r="I12" s="205">
        <f t="shared" si="1"/>
        <v>0</v>
      </c>
      <c r="J12" s="205">
        <f t="shared" si="1"/>
        <v>2162.8732799999998</v>
      </c>
      <c r="K12" s="205">
        <f t="shared" si="1"/>
        <v>0</v>
      </c>
      <c r="L12" s="203">
        <f t="shared" si="0"/>
        <v>0</v>
      </c>
      <c r="M12" s="203">
        <f t="shared" si="2"/>
        <v>0</v>
      </c>
      <c r="O12" s="208">
        <f>C12/$C$9</f>
        <v>2.0493862575637514E-3</v>
      </c>
    </row>
    <row r="13" spans="1:15" s="206" customFormat="1" ht="13.5" customHeight="1">
      <c r="A13" s="157"/>
      <c r="B13" s="151"/>
      <c r="C13" s="141"/>
      <c r="D13" s="141"/>
      <c r="E13" s="141"/>
      <c r="F13" s="152"/>
      <c r="H13" s="207">
        <f t="shared" si="1"/>
        <v>0</v>
      </c>
      <c r="I13" s="207">
        <f t="shared" si="1"/>
        <v>0</v>
      </c>
      <c r="J13" s="207">
        <f t="shared" si="1"/>
        <v>0</v>
      </c>
      <c r="K13" s="207">
        <f t="shared" si="1"/>
        <v>0</v>
      </c>
      <c r="L13" s="203">
        <f t="shared" si="0"/>
        <v>0</v>
      </c>
      <c r="M13" s="203">
        <f t="shared" si="2"/>
        <v>0</v>
      </c>
      <c r="O13" s="208">
        <f t="shared" ref="O13:O76" si="3">C13/$C$9</f>
        <v>0</v>
      </c>
    </row>
    <row r="14" spans="1:15" ht="13.5" hidden="1" customHeight="1">
      <c r="A14" s="153" t="s">
        <v>128</v>
      </c>
      <c r="B14" s="154" t="s">
        <v>129</v>
      </c>
      <c r="C14" s="158">
        <v>0</v>
      </c>
      <c r="D14" s="158">
        <v>0</v>
      </c>
      <c r="E14" s="158">
        <v>0</v>
      </c>
      <c r="F14" s="164">
        <v>0</v>
      </c>
      <c r="H14" s="209">
        <f t="shared" si="1"/>
        <v>0</v>
      </c>
      <c r="I14" s="205">
        <f t="shared" si="1"/>
        <v>0</v>
      </c>
      <c r="J14" s="205">
        <f t="shared" si="1"/>
        <v>0</v>
      </c>
      <c r="K14" s="205">
        <f t="shared" si="1"/>
        <v>0</v>
      </c>
      <c r="L14" s="203">
        <f t="shared" si="0"/>
        <v>0</v>
      </c>
      <c r="M14" s="203">
        <f t="shared" si="2"/>
        <v>0</v>
      </c>
      <c r="O14" s="208">
        <f t="shared" si="3"/>
        <v>0</v>
      </c>
    </row>
    <row r="15" spans="1:15" ht="13.5" hidden="1" customHeight="1">
      <c r="A15" s="150" t="s">
        <v>130</v>
      </c>
      <c r="B15" s="151" t="s">
        <v>131</v>
      </c>
      <c r="C15" s="158">
        <v>0</v>
      </c>
      <c r="D15" s="142">
        <v>0</v>
      </c>
      <c r="E15" s="142">
        <v>0</v>
      </c>
      <c r="F15" s="143">
        <v>0</v>
      </c>
      <c r="H15" s="209">
        <f t="shared" si="1"/>
        <v>0</v>
      </c>
      <c r="I15" s="205">
        <f t="shared" si="1"/>
        <v>0</v>
      </c>
      <c r="J15" s="205">
        <f t="shared" si="1"/>
        <v>0</v>
      </c>
      <c r="K15" s="205">
        <f t="shared" si="1"/>
        <v>0</v>
      </c>
      <c r="L15" s="203">
        <f t="shared" si="0"/>
        <v>0</v>
      </c>
      <c r="M15" s="203">
        <f t="shared" si="2"/>
        <v>0</v>
      </c>
      <c r="O15" s="208">
        <f t="shared" si="3"/>
        <v>0</v>
      </c>
    </row>
    <row r="16" spans="1:15" ht="13.5" hidden="1" customHeight="1">
      <c r="A16" s="159" t="s">
        <v>132</v>
      </c>
      <c r="B16" s="160" t="s">
        <v>133</v>
      </c>
      <c r="C16" s="158">
        <v>0</v>
      </c>
      <c r="D16" s="142">
        <v>0</v>
      </c>
      <c r="E16" s="142">
        <v>0</v>
      </c>
      <c r="F16" s="143">
        <v>0</v>
      </c>
      <c r="H16" s="209">
        <f t="shared" si="1"/>
        <v>0</v>
      </c>
      <c r="I16" s="205">
        <f t="shared" si="1"/>
        <v>0</v>
      </c>
      <c r="J16" s="205">
        <f t="shared" si="1"/>
        <v>0</v>
      </c>
      <c r="K16" s="205">
        <f t="shared" si="1"/>
        <v>0</v>
      </c>
      <c r="L16" s="203">
        <f t="shared" si="0"/>
        <v>0</v>
      </c>
      <c r="M16" s="203">
        <f t="shared" si="2"/>
        <v>0</v>
      </c>
      <c r="O16" s="208">
        <f t="shared" si="3"/>
        <v>0</v>
      </c>
    </row>
    <row r="17" spans="1:15" ht="13.5" hidden="1" customHeight="1">
      <c r="A17" s="159" t="s">
        <v>134</v>
      </c>
      <c r="B17" s="160" t="s">
        <v>135</v>
      </c>
      <c r="C17" s="158">
        <v>0</v>
      </c>
      <c r="D17" s="142">
        <v>0</v>
      </c>
      <c r="E17" s="142">
        <v>0</v>
      </c>
      <c r="F17" s="143">
        <v>0</v>
      </c>
      <c r="H17" s="209">
        <f t="shared" si="1"/>
        <v>0</v>
      </c>
      <c r="I17" s="205">
        <f t="shared" si="1"/>
        <v>0</v>
      </c>
      <c r="J17" s="205">
        <f t="shared" si="1"/>
        <v>0</v>
      </c>
      <c r="K17" s="205">
        <f t="shared" si="1"/>
        <v>0</v>
      </c>
      <c r="L17" s="203">
        <f t="shared" si="0"/>
        <v>0</v>
      </c>
      <c r="M17" s="203">
        <f t="shared" si="2"/>
        <v>0</v>
      </c>
      <c r="O17" s="208">
        <f t="shared" si="3"/>
        <v>0</v>
      </c>
    </row>
    <row r="18" spans="1:15" ht="13.5" hidden="1" customHeight="1">
      <c r="A18" s="159" t="s">
        <v>136</v>
      </c>
      <c r="B18" s="160" t="s">
        <v>137</v>
      </c>
      <c r="C18" s="158">
        <v>0</v>
      </c>
      <c r="D18" s="142">
        <v>0</v>
      </c>
      <c r="E18" s="142">
        <v>0</v>
      </c>
      <c r="F18" s="143">
        <v>0</v>
      </c>
      <c r="H18" s="209">
        <f t="shared" si="1"/>
        <v>0</v>
      </c>
      <c r="I18" s="205">
        <f t="shared" si="1"/>
        <v>0</v>
      </c>
      <c r="J18" s="205">
        <f t="shared" si="1"/>
        <v>0</v>
      </c>
      <c r="K18" s="205">
        <f t="shared" si="1"/>
        <v>0</v>
      </c>
      <c r="L18" s="203">
        <f t="shared" si="0"/>
        <v>0</v>
      </c>
      <c r="M18" s="203">
        <f t="shared" si="2"/>
        <v>0</v>
      </c>
      <c r="O18" s="208">
        <f t="shared" si="3"/>
        <v>0</v>
      </c>
    </row>
    <row r="19" spans="1:15" ht="13.5" hidden="1" customHeight="1">
      <c r="A19" s="150" t="s">
        <v>138</v>
      </c>
      <c r="B19" s="151" t="s">
        <v>139</v>
      </c>
      <c r="C19" s="158">
        <v>0</v>
      </c>
      <c r="D19" s="142">
        <v>0</v>
      </c>
      <c r="E19" s="142">
        <v>0</v>
      </c>
      <c r="F19" s="143">
        <v>0</v>
      </c>
      <c r="H19" s="205">
        <f t="shared" si="1"/>
        <v>0</v>
      </c>
      <c r="I19" s="205">
        <f t="shared" si="1"/>
        <v>0</v>
      </c>
      <c r="J19" s="205">
        <f t="shared" si="1"/>
        <v>0</v>
      </c>
      <c r="K19" s="205">
        <f t="shared" si="1"/>
        <v>0</v>
      </c>
      <c r="L19" s="203">
        <f t="shared" si="0"/>
        <v>0</v>
      </c>
      <c r="M19" s="203">
        <f t="shared" si="2"/>
        <v>0</v>
      </c>
      <c r="O19" s="208">
        <f t="shared" si="3"/>
        <v>0</v>
      </c>
    </row>
    <row r="20" spans="1:15" s="206" customFormat="1" ht="13.5" hidden="1" customHeight="1">
      <c r="A20" s="150"/>
      <c r="B20" s="151"/>
      <c r="C20" s="141"/>
      <c r="D20" s="142"/>
      <c r="E20" s="142"/>
      <c r="F20" s="143"/>
      <c r="H20" s="207">
        <f t="shared" si="1"/>
        <v>0</v>
      </c>
      <c r="I20" s="207">
        <f t="shared" si="1"/>
        <v>0</v>
      </c>
      <c r="J20" s="207">
        <f t="shared" si="1"/>
        <v>0</v>
      </c>
      <c r="K20" s="207">
        <f t="shared" si="1"/>
        <v>0</v>
      </c>
      <c r="L20" s="203">
        <f t="shared" si="0"/>
        <v>0</v>
      </c>
      <c r="M20" s="203">
        <f t="shared" si="2"/>
        <v>0</v>
      </c>
      <c r="O20" s="208">
        <f t="shared" si="3"/>
        <v>0</v>
      </c>
    </row>
    <row r="21" spans="1:15" ht="12.75" customHeight="1">
      <c r="A21" s="153" t="s">
        <v>140</v>
      </c>
      <c r="B21" s="154" t="s">
        <v>141</v>
      </c>
      <c r="C21" s="148">
        <v>2162873.2799999998</v>
      </c>
      <c r="D21" s="148">
        <v>0</v>
      </c>
      <c r="E21" s="148">
        <v>2162873.2799999998</v>
      </c>
      <c r="F21" s="149">
        <v>0</v>
      </c>
      <c r="H21" s="209">
        <f t="shared" si="1"/>
        <v>2162.8732799999998</v>
      </c>
      <c r="I21" s="205">
        <f t="shared" si="1"/>
        <v>0</v>
      </c>
      <c r="J21" s="205">
        <f t="shared" si="1"/>
        <v>2162.8732799999998</v>
      </c>
      <c r="K21" s="205">
        <f t="shared" si="1"/>
        <v>0</v>
      </c>
      <c r="L21" s="203">
        <f t="shared" si="0"/>
        <v>0</v>
      </c>
      <c r="M21" s="203">
        <f t="shared" si="2"/>
        <v>0</v>
      </c>
      <c r="O21" s="208">
        <f t="shared" si="3"/>
        <v>2.0493862575637514E-3</v>
      </c>
    </row>
    <row r="22" spans="1:15" ht="12.75" hidden="1" customHeight="1">
      <c r="A22" s="150" t="s">
        <v>142</v>
      </c>
      <c r="B22" s="151" t="s">
        <v>143</v>
      </c>
      <c r="C22" s="158">
        <v>0</v>
      </c>
      <c r="D22" s="142">
        <v>0</v>
      </c>
      <c r="E22" s="142">
        <v>0</v>
      </c>
      <c r="F22" s="143">
        <v>0</v>
      </c>
      <c r="H22" s="209">
        <f t="shared" si="1"/>
        <v>0</v>
      </c>
      <c r="I22" s="205">
        <f t="shared" si="1"/>
        <v>0</v>
      </c>
      <c r="J22" s="205">
        <f t="shared" si="1"/>
        <v>0</v>
      </c>
      <c r="K22" s="205">
        <f t="shared" si="1"/>
        <v>0</v>
      </c>
      <c r="L22" s="203">
        <f t="shared" si="0"/>
        <v>0</v>
      </c>
      <c r="M22" s="203">
        <f t="shared" si="2"/>
        <v>0</v>
      </c>
      <c r="O22" s="208">
        <f t="shared" si="3"/>
        <v>0</v>
      </c>
    </row>
    <row r="23" spans="1:15" ht="12.75" hidden="1" customHeight="1">
      <c r="A23" s="161" t="s">
        <v>144</v>
      </c>
      <c r="B23" s="151" t="s">
        <v>145</v>
      </c>
      <c r="C23" s="158">
        <v>0</v>
      </c>
      <c r="D23" s="142">
        <v>0</v>
      </c>
      <c r="E23" s="142">
        <v>0</v>
      </c>
      <c r="F23" s="143">
        <v>0</v>
      </c>
      <c r="H23" s="209">
        <f t="shared" si="1"/>
        <v>0</v>
      </c>
      <c r="I23" s="205">
        <f t="shared" si="1"/>
        <v>0</v>
      </c>
      <c r="J23" s="205">
        <f t="shared" si="1"/>
        <v>0</v>
      </c>
      <c r="K23" s="205">
        <f t="shared" si="1"/>
        <v>0</v>
      </c>
      <c r="L23" s="203">
        <f t="shared" si="0"/>
        <v>0</v>
      </c>
      <c r="M23" s="203">
        <f t="shared" si="2"/>
        <v>0</v>
      </c>
      <c r="O23" s="208">
        <f t="shared" si="3"/>
        <v>0</v>
      </c>
    </row>
    <row r="24" spans="1:15" ht="12.75" hidden="1" customHeight="1">
      <c r="A24" s="161" t="s">
        <v>146</v>
      </c>
      <c r="B24" s="151" t="s">
        <v>147</v>
      </c>
      <c r="C24" s="158">
        <v>0</v>
      </c>
      <c r="D24" s="142">
        <v>0</v>
      </c>
      <c r="E24" s="142">
        <v>0</v>
      </c>
      <c r="F24" s="143">
        <v>0</v>
      </c>
      <c r="H24" s="209">
        <f t="shared" si="1"/>
        <v>0</v>
      </c>
      <c r="I24" s="205">
        <f t="shared" si="1"/>
        <v>0</v>
      </c>
      <c r="J24" s="205">
        <f t="shared" si="1"/>
        <v>0</v>
      </c>
      <c r="K24" s="205">
        <f t="shared" si="1"/>
        <v>0</v>
      </c>
      <c r="L24" s="203">
        <f t="shared" si="0"/>
        <v>0</v>
      </c>
      <c r="M24" s="203">
        <f t="shared" si="2"/>
        <v>0</v>
      </c>
      <c r="O24" s="208">
        <f t="shared" si="3"/>
        <v>0</v>
      </c>
    </row>
    <row r="25" spans="1:15" hidden="1">
      <c r="A25" s="161" t="s">
        <v>148</v>
      </c>
      <c r="B25" s="151" t="s">
        <v>149</v>
      </c>
      <c r="C25" s="158">
        <v>0</v>
      </c>
      <c r="D25" s="142">
        <v>0</v>
      </c>
      <c r="E25" s="142">
        <v>0</v>
      </c>
      <c r="F25" s="143">
        <v>0</v>
      </c>
      <c r="H25" s="209">
        <f t="shared" si="1"/>
        <v>0</v>
      </c>
      <c r="I25" s="205">
        <f t="shared" si="1"/>
        <v>0</v>
      </c>
      <c r="J25" s="205">
        <f t="shared" si="1"/>
        <v>0</v>
      </c>
      <c r="K25" s="205">
        <f t="shared" si="1"/>
        <v>0</v>
      </c>
      <c r="L25" s="203">
        <f t="shared" si="0"/>
        <v>0</v>
      </c>
      <c r="M25" s="203">
        <f t="shared" si="2"/>
        <v>0</v>
      </c>
      <c r="O25" s="208">
        <f t="shared" si="3"/>
        <v>0</v>
      </c>
    </row>
    <row r="26" spans="1:15">
      <c r="A26" s="150" t="s">
        <v>150</v>
      </c>
      <c r="B26" s="151" t="s">
        <v>151</v>
      </c>
      <c r="C26" s="158">
        <v>2162873.2799999998</v>
      </c>
      <c r="D26" s="142">
        <v>0</v>
      </c>
      <c r="E26" s="142">
        <v>2162873.2799999998</v>
      </c>
      <c r="F26" s="143">
        <v>0</v>
      </c>
      <c r="H26" s="205">
        <f t="shared" si="1"/>
        <v>2162.8732799999998</v>
      </c>
      <c r="I26" s="205">
        <f t="shared" si="1"/>
        <v>0</v>
      </c>
      <c r="J26" s="205">
        <f t="shared" si="1"/>
        <v>2162.8732799999998</v>
      </c>
      <c r="K26" s="205">
        <f t="shared" si="1"/>
        <v>0</v>
      </c>
      <c r="L26" s="203">
        <f t="shared" si="0"/>
        <v>0</v>
      </c>
      <c r="M26" s="203">
        <f t="shared" si="2"/>
        <v>0</v>
      </c>
      <c r="O26" s="208">
        <f t="shared" si="3"/>
        <v>2.0493862575637514E-3</v>
      </c>
    </row>
    <row r="27" spans="1:15" s="206" customFormat="1" ht="12.75" customHeight="1">
      <c r="A27" s="150"/>
      <c r="B27" s="151"/>
      <c r="C27" s="141"/>
      <c r="D27" s="142"/>
      <c r="E27" s="142"/>
      <c r="F27" s="143"/>
      <c r="H27" s="207">
        <f t="shared" si="1"/>
        <v>0</v>
      </c>
      <c r="I27" s="207">
        <f t="shared" si="1"/>
        <v>0</v>
      </c>
      <c r="J27" s="207">
        <f t="shared" si="1"/>
        <v>0</v>
      </c>
      <c r="K27" s="207">
        <f t="shared" si="1"/>
        <v>0</v>
      </c>
      <c r="L27" s="203">
        <f t="shared" si="0"/>
        <v>0</v>
      </c>
      <c r="M27" s="203">
        <f t="shared" si="2"/>
        <v>0</v>
      </c>
      <c r="O27" s="208">
        <f t="shared" si="3"/>
        <v>0</v>
      </c>
    </row>
    <row r="28" spans="1:15" ht="12.75" hidden="1" customHeight="1">
      <c r="A28" s="153" t="s">
        <v>152</v>
      </c>
      <c r="B28" s="154" t="s">
        <v>153</v>
      </c>
      <c r="C28" s="158">
        <v>0</v>
      </c>
      <c r="D28" s="158">
        <v>0</v>
      </c>
      <c r="E28" s="158">
        <v>0</v>
      </c>
      <c r="F28" s="164">
        <v>0</v>
      </c>
      <c r="H28" s="209">
        <f t="shared" si="1"/>
        <v>0</v>
      </c>
      <c r="I28" s="205">
        <f t="shared" si="1"/>
        <v>0</v>
      </c>
      <c r="J28" s="205">
        <f t="shared" si="1"/>
        <v>0</v>
      </c>
      <c r="K28" s="205">
        <f t="shared" si="1"/>
        <v>0</v>
      </c>
      <c r="L28" s="203">
        <f t="shared" si="0"/>
        <v>0</v>
      </c>
      <c r="M28" s="203">
        <f t="shared" si="2"/>
        <v>0</v>
      </c>
      <c r="O28" s="208">
        <f t="shared" si="3"/>
        <v>0</v>
      </c>
    </row>
    <row r="29" spans="1:15" ht="12.75" hidden="1" customHeight="1">
      <c r="A29" s="150" t="s">
        <v>154</v>
      </c>
      <c r="B29" s="151" t="s">
        <v>155</v>
      </c>
      <c r="C29" s="158">
        <v>0</v>
      </c>
      <c r="D29" s="142">
        <v>0</v>
      </c>
      <c r="E29" s="142">
        <v>0</v>
      </c>
      <c r="F29" s="143">
        <v>0</v>
      </c>
      <c r="H29" s="209">
        <f t="shared" si="1"/>
        <v>0</v>
      </c>
      <c r="I29" s="205">
        <f t="shared" si="1"/>
        <v>0</v>
      </c>
      <c r="J29" s="205">
        <f t="shared" si="1"/>
        <v>0</v>
      </c>
      <c r="K29" s="205">
        <f t="shared" si="1"/>
        <v>0</v>
      </c>
      <c r="L29" s="203">
        <f t="shared" si="0"/>
        <v>0</v>
      </c>
      <c r="M29" s="203">
        <f t="shared" si="2"/>
        <v>0</v>
      </c>
      <c r="O29" s="208">
        <f t="shared" si="3"/>
        <v>0</v>
      </c>
    </row>
    <row r="30" spans="1:15" ht="12.75" hidden="1" customHeight="1">
      <c r="A30" s="150" t="s">
        <v>156</v>
      </c>
      <c r="B30" s="151" t="s">
        <v>157</v>
      </c>
      <c r="C30" s="158">
        <v>0</v>
      </c>
      <c r="D30" s="142">
        <v>0</v>
      </c>
      <c r="E30" s="142">
        <v>0</v>
      </c>
      <c r="F30" s="143">
        <v>0</v>
      </c>
      <c r="H30" s="209">
        <f t="shared" si="1"/>
        <v>0</v>
      </c>
      <c r="I30" s="205">
        <f t="shared" si="1"/>
        <v>0</v>
      </c>
      <c r="J30" s="205">
        <f t="shared" si="1"/>
        <v>0</v>
      </c>
      <c r="K30" s="205">
        <f t="shared" si="1"/>
        <v>0</v>
      </c>
      <c r="L30" s="203">
        <f t="shared" si="0"/>
        <v>0</v>
      </c>
      <c r="M30" s="203">
        <f t="shared" si="2"/>
        <v>0</v>
      </c>
      <c r="O30" s="208">
        <f t="shared" si="3"/>
        <v>0</v>
      </c>
    </row>
    <row r="31" spans="1:15" ht="12.75" hidden="1" customHeight="1">
      <c r="A31" s="150" t="s">
        <v>158</v>
      </c>
      <c r="B31" s="151" t="s">
        <v>159</v>
      </c>
      <c r="C31" s="158">
        <v>0</v>
      </c>
      <c r="D31" s="142">
        <v>0</v>
      </c>
      <c r="E31" s="142">
        <v>0</v>
      </c>
      <c r="F31" s="143">
        <v>0</v>
      </c>
      <c r="H31" s="209">
        <f t="shared" si="1"/>
        <v>0</v>
      </c>
      <c r="I31" s="205">
        <f t="shared" si="1"/>
        <v>0</v>
      </c>
      <c r="J31" s="205">
        <f t="shared" si="1"/>
        <v>0</v>
      </c>
      <c r="K31" s="205">
        <f t="shared" si="1"/>
        <v>0</v>
      </c>
      <c r="L31" s="203">
        <f t="shared" si="0"/>
        <v>0</v>
      </c>
      <c r="M31" s="203">
        <f t="shared" si="2"/>
        <v>0</v>
      </c>
      <c r="O31" s="208">
        <f t="shared" si="3"/>
        <v>0</v>
      </c>
    </row>
    <row r="32" spans="1:15" ht="12.75" hidden="1" customHeight="1">
      <c r="A32" s="150" t="s">
        <v>160</v>
      </c>
      <c r="B32" s="151" t="s">
        <v>161</v>
      </c>
      <c r="C32" s="158">
        <v>0</v>
      </c>
      <c r="D32" s="142">
        <v>0</v>
      </c>
      <c r="E32" s="142">
        <v>0</v>
      </c>
      <c r="F32" s="143">
        <v>0</v>
      </c>
      <c r="H32" s="209">
        <f t="shared" si="1"/>
        <v>0</v>
      </c>
      <c r="I32" s="205">
        <f t="shared" si="1"/>
        <v>0</v>
      </c>
      <c r="J32" s="205">
        <f t="shared" si="1"/>
        <v>0</v>
      </c>
      <c r="K32" s="205">
        <f t="shared" si="1"/>
        <v>0</v>
      </c>
      <c r="L32" s="203">
        <f t="shared" si="0"/>
        <v>0</v>
      </c>
      <c r="M32" s="203">
        <f t="shared" si="2"/>
        <v>0</v>
      </c>
      <c r="O32" s="208">
        <f t="shared" si="3"/>
        <v>0</v>
      </c>
    </row>
    <row r="33" spans="1:15" ht="12.75" hidden="1" customHeight="1">
      <c r="A33" s="150" t="s">
        <v>162</v>
      </c>
      <c r="B33" s="151" t="s">
        <v>163</v>
      </c>
      <c r="C33" s="158">
        <v>0</v>
      </c>
      <c r="D33" s="142">
        <v>0</v>
      </c>
      <c r="E33" s="142">
        <v>0</v>
      </c>
      <c r="F33" s="143">
        <v>0</v>
      </c>
      <c r="H33" s="205">
        <f t="shared" si="1"/>
        <v>0</v>
      </c>
      <c r="I33" s="205">
        <f t="shared" si="1"/>
        <v>0</v>
      </c>
      <c r="J33" s="205">
        <f t="shared" si="1"/>
        <v>0</v>
      </c>
      <c r="K33" s="205">
        <f t="shared" si="1"/>
        <v>0</v>
      </c>
      <c r="L33" s="203">
        <f t="shared" si="0"/>
        <v>0</v>
      </c>
      <c r="M33" s="203">
        <f t="shared" si="2"/>
        <v>0</v>
      </c>
      <c r="O33" s="208">
        <f t="shared" si="3"/>
        <v>0</v>
      </c>
    </row>
    <row r="34" spans="1:15" s="206" customFormat="1" ht="27" hidden="1" customHeight="1">
      <c r="A34" s="150"/>
      <c r="B34" s="151"/>
      <c r="C34" s="141"/>
      <c r="D34" s="142"/>
      <c r="E34" s="142"/>
      <c r="F34" s="143"/>
      <c r="H34" s="207">
        <f t="shared" si="1"/>
        <v>0</v>
      </c>
      <c r="I34" s="207">
        <f t="shared" si="1"/>
        <v>0</v>
      </c>
      <c r="J34" s="207">
        <f t="shared" si="1"/>
        <v>0</v>
      </c>
      <c r="K34" s="207">
        <f t="shared" si="1"/>
        <v>0</v>
      </c>
      <c r="L34" s="203">
        <f t="shared" si="0"/>
        <v>0</v>
      </c>
      <c r="M34" s="203">
        <f t="shared" si="2"/>
        <v>0</v>
      </c>
      <c r="O34" s="208">
        <f t="shared" si="3"/>
        <v>0</v>
      </c>
    </row>
    <row r="35" spans="1:15" ht="24" hidden="1" customHeight="1">
      <c r="A35" s="153" t="s">
        <v>164</v>
      </c>
      <c r="B35" s="154" t="s">
        <v>165</v>
      </c>
      <c r="C35" s="158">
        <v>0</v>
      </c>
      <c r="D35" s="158">
        <v>0</v>
      </c>
      <c r="E35" s="158">
        <v>0</v>
      </c>
      <c r="F35" s="164">
        <v>0</v>
      </c>
      <c r="G35" s="200"/>
      <c r="H35" s="209">
        <f t="shared" si="1"/>
        <v>0</v>
      </c>
      <c r="I35" s="205">
        <f t="shared" si="1"/>
        <v>0</v>
      </c>
      <c r="J35" s="205">
        <f t="shared" si="1"/>
        <v>0</v>
      </c>
      <c r="K35" s="205">
        <f t="shared" si="1"/>
        <v>0</v>
      </c>
      <c r="L35" s="203">
        <f t="shared" si="0"/>
        <v>0</v>
      </c>
      <c r="M35" s="203">
        <f t="shared" si="2"/>
        <v>0</v>
      </c>
      <c r="O35" s="208">
        <f t="shared" si="3"/>
        <v>0</v>
      </c>
    </row>
    <row r="36" spans="1:15" ht="12.75" hidden="1" customHeight="1">
      <c r="A36" s="150" t="s">
        <v>166</v>
      </c>
      <c r="B36" s="151" t="s">
        <v>167</v>
      </c>
      <c r="C36" s="158">
        <v>0</v>
      </c>
      <c r="D36" s="142">
        <v>0</v>
      </c>
      <c r="E36" s="142">
        <v>0</v>
      </c>
      <c r="F36" s="143">
        <v>0</v>
      </c>
      <c r="H36" s="209">
        <f t="shared" si="1"/>
        <v>0</v>
      </c>
      <c r="I36" s="205">
        <f t="shared" si="1"/>
        <v>0</v>
      </c>
      <c r="J36" s="205">
        <f t="shared" si="1"/>
        <v>0</v>
      </c>
      <c r="K36" s="205">
        <f t="shared" si="1"/>
        <v>0</v>
      </c>
      <c r="L36" s="203">
        <f t="shared" si="0"/>
        <v>0</v>
      </c>
      <c r="M36" s="203">
        <f t="shared" si="2"/>
        <v>0</v>
      </c>
      <c r="O36" s="208">
        <f t="shared" si="3"/>
        <v>0</v>
      </c>
    </row>
    <row r="37" spans="1:15" ht="12.75" hidden="1" customHeight="1">
      <c r="A37" s="159" t="s">
        <v>168</v>
      </c>
      <c r="B37" s="160" t="s">
        <v>169</v>
      </c>
      <c r="C37" s="158">
        <v>0</v>
      </c>
      <c r="D37" s="142">
        <v>0</v>
      </c>
      <c r="E37" s="142">
        <v>0</v>
      </c>
      <c r="F37" s="143">
        <v>0</v>
      </c>
      <c r="H37" s="209">
        <f t="shared" si="1"/>
        <v>0</v>
      </c>
      <c r="I37" s="205">
        <f t="shared" si="1"/>
        <v>0</v>
      </c>
      <c r="J37" s="205">
        <f t="shared" si="1"/>
        <v>0</v>
      </c>
      <c r="K37" s="205">
        <f t="shared" si="1"/>
        <v>0</v>
      </c>
      <c r="L37" s="203">
        <f t="shared" si="0"/>
        <v>0</v>
      </c>
      <c r="M37" s="203">
        <f t="shared" si="2"/>
        <v>0</v>
      </c>
      <c r="O37" s="208">
        <f t="shared" si="3"/>
        <v>0</v>
      </c>
    </row>
    <row r="38" spans="1:15" ht="12.75" hidden="1" customHeight="1">
      <c r="A38" s="159" t="s">
        <v>170</v>
      </c>
      <c r="B38" s="160" t="s">
        <v>171</v>
      </c>
      <c r="C38" s="158">
        <v>0</v>
      </c>
      <c r="D38" s="142">
        <v>0</v>
      </c>
      <c r="E38" s="142">
        <v>0</v>
      </c>
      <c r="F38" s="143">
        <v>0</v>
      </c>
      <c r="H38" s="209">
        <f t="shared" si="1"/>
        <v>0</v>
      </c>
      <c r="I38" s="205">
        <f t="shared" si="1"/>
        <v>0</v>
      </c>
      <c r="J38" s="205">
        <f t="shared" si="1"/>
        <v>0</v>
      </c>
      <c r="K38" s="205">
        <f t="shared" si="1"/>
        <v>0</v>
      </c>
      <c r="L38" s="203">
        <f t="shared" si="0"/>
        <v>0</v>
      </c>
      <c r="M38" s="203">
        <f t="shared" si="2"/>
        <v>0</v>
      </c>
      <c r="O38" s="208">
        <f t="shared" si="3"/>
        <v>0</v>
      </c>
    </row>
    <row r="39" spans="1:15" ht="25.5" hidden="1" customHeight="1">
      <c r="A39" s="150" t="s">
        <v>172</v>
      </c>
      <c r="B39" s="151" t="s">
        <v>173</v>
      </c>
      <c r="C39" s="158">
        <v>0</v>
      </c>
      <c r="D39" s="142">
        <v>0</v>
      </c>
      <c r="E39" s="142">
        <v>0</v>
      </c>
      <c r="F39" s="143">
        <v>0</v>
      </c>
      <c r="H39" s="209">
        <f t="shared" si="1"/>
        <v>0</v>
      </c>
      <c r="I39" s="205">
        <f t="shared" si="1"/>
        <v>0</v>
      </c>
      <c r="J39" s="205">
        <f t="shared" si="1"/>
        <v>0</v>
      </c>
      <c r="K39" s="205">
        <f t="shared" si="1"/>
        <v>0</v>
      </c>
      <c r="L39" s="203">
        <f t="shared" si="0"/>
        <v>0</v>
      </c>
      <c r="M39" s="203">
        <f t="shared" si="2"/>
        <v>0</v>
      </c>
      <c r="O39" s="208">
        <f t="shared" si="3"/>
        <v>0</v>
      </c>
    </row>
    <row r="40" spans="1:15" ht="12.75" hidden="1" customHeight="1">
      <c r="A40" s="150" t="s">
        <v>174</v>
      </c>
      <c r="B40" s="151" t="s">
        <v>175</v>
      </c>
      <c r="C40" s="158">
        <v>0</v>
      </c>
      <c r="D40" s="142">
        <v>0</v>
      </c>
      <c r="E40" s="142">
        <v>0</v>
      </c>
      <c r="F40" s="143">
        <v>0</v>
      </c>
      <c r="H40" s="205">
        <f t="shared" si="1"/>
        <v>0</v>
      </c>
      <c r="I40" s="205">
        <f t="shared" si="1"/>
        <v>0</v>
      </c>
      <c r="J40" s="205">
        <f t="shared" si="1"/>
        <v>0</v>
      </c>
      <c r="K40" s="205">
        <f t="shared" si="1"/>
        <v>0</v>
      </c>
      <c r="L40" s="203">
        <f t="shared" si="0"/>
        <v>0</v>
      </c>
      <c r="M40" s="203">
        <f t="shared" si="2"/>
        <v>0</v>
      </c>
      <c r="O40" s="208">
        <f t="shared" si="3"/>
        <v>0</v>
      </c>
    </row>
    <row r="41" spans="1:15" s="210" customFormat="1" ht="40.5" hidden="1" customHeight="1">
      <c r="A41" s="150"/>
      <c r="B41" s="151"/>
      <c r="C41" s="141"/>
      <c r="D41" s="142"/>
      <c r="E41" s="142"/>
      <c r="F41" s="143"/>
      <c r="H41" s="207">
        <f t="shared" ref="H41:K73" si="4">+C41/1000</f>
        <v>0</v>
      </c>
      <c r="I41" s="207">
        <f t="shared" si="4"/>
        <v>0</v>
      </c>
      <c r="J41" s="207">
        <f t="shared" si="4"/>
        <v>0</v>
      </c>
      <c r="K41" s="207">
        <f t="shared" si="4"/>
        <v>0</v>
      </c>
      <c r="L41" s="203">
        <f t="shared" si="0"/>
        <v>0</v>
      </c>
      <c r="M41" s="203">
        <f t="shared" si="2"/>
        <v>0</v>
      </c>
      <c r="O41" s="208">
        <f t="shared" si="3"/>
        <v>0</v>
      </c>
    </row>
    <row r="42" spans="1:15" ht="25.5" hidden="1" customHeight="1">
      <c r="A42" s="153" t="s">
        <v>176</v>
      </c>
      <c r="B42" s="154" t="s">
        <v>177</v>
      </c>
      <c r="C42" s="158">
        <v>0</v>
      </c>
      <c r="D42" s="158">
        <v>0</v>
      </c>
      <c r="E42" s="158">
        <v>0</v>
      </c>
      <c r="F42" s="164">
        <v>0</v>
      </c>
      <c r="G42" s="200"/>
      <c r="H42" s="209">
        <f t="shared" si="4"/>
        <v>0</v>
      </c>
      <c r="I42" s="205">
        <f t="shared" si="4"/>
        <v>0</v>
      </c>
      <c r="J42" s="205">
        <f t="shared" si="4"/>
        <v>0</v>
      </c>
      <c r="K42" s="205">
        <f t="shared" si="4"/>
        <v>0</v>
      </c>
      <c r="L42" s="203">
        <f t="shared" si="0"/>
        <v>0</v>
      </c>
      <c r="M42" s="203">
        <f t="shared" si="2"/>
        <v>0</v>
      </c>
      <c r="O42" s="208">
        <f t="shared" si="3"/>
        <v>0</v>
      </c>
    </row>
    <row r="43" spans="1:15" ht="24.75" hidden="1" customHeight="1">
      <c r="A43" s="150" t="s">
        <v>178</v>
      </c>
      <c r="B43" s="151" t="s">
        <v>179</v>
      </c>
      <c r="C43" s="158">
        <v>0</v>
      </c>
      <c r="D43" s="142">
        <v>0</v>
      </c>
      <c r="E43" s="142">
        <v>0</v>
      </c>
      <c r="F43" s="143">
        <v>0</v>
      </c>
      <c r="H43" s="209">
        <f t="shared" si="4"/>
        <v>0</v>
      </c>
      <c r="I43" s="205">
        <f t="shared" si="4"/>
        <v>0</v>
      </c>
      <c r="J43" s="205">
        <f t="shared" si="4"/>
        <v>0</v>
      </c>
      <c r="K43" s="205">
        <f t="shared" si="4"/>
        <v>0</v>
      </c>
      <c r="L43" s="203">
        <f t="shared" si="0"/>
        <v>0</v>
      </c>
      <c r="M43" s="203">
        <f t="shared" si="2"/>
        <v>0</v>
      </c>
      <c r="O43" s="208">
        <f t="shared" si="3"/>
        <v>0</v>
      </c>
    </row>
    <row r="44" spans="1:15" ht="12.75" hidden="1" customHeight="1">
      <c r="A44" s="150" t="s">
        <v>180</v>
      </c>
      <c r="B44" s="160" t="s">
        <v>181</v>
      </c>
      <c r="C44" s="158">
        <v>0</v>
      </c>
      <c r="D44" s="142">
        <v>0</v>
      </c>
      <c r="E44" s="142">
        <v>0</v>
      </c>
      <c r="F44" s="143">
        <v>0</v>
      </c>
      <c r="H44" s="209">
        <f t="shared" si="4"/>
        <v>0</v>
      </c>
      <c r="I44" s="205">
        <f t="shared" si="4"/>
        <v>0</v>
      </c>
      <c r="J44" s="205">
        <f t="shared" si="4"/>
        <v>0</v>
      </c>
      <c r="K44" s="205">
        <f t="shared" si="4"/>
        <v>0</v>
      </c>
      <c r="L44" s="203">
        <f t="shared" si="0"/>
        <v>0</v>
      </c>
      <c r="M44" s="203">
        <f t="shared" si="2"/>
        <v>0</v>
      </c>
      <c r="O44" s="208">
        <f t="shared" si="3"/>
        <v>0</v>
      </c>
    </row>
    <row r="45" spans="1:15" ht="12.75" hidden="1" customHeight="1">
      <c r="A45" s="150" t="s">
        <v>182</v>
      </c>
      <c r="B45" s="151" t="s">
        <v>183</v>
      </c>
      <c r="C45" s="158">
        <v>0</v>
      </c>
      <c r="D45" s="142">
        <v>0</v>
      </c>
      <c r="E45" s="142">
        <v>0</v>
      </c>
      <c r="F45" s="143">
        <v>0</v>
      </c>
      <c r="H45" s="209">
        <f t="shared" si="4"/>
        <v>0</v>
      </c>
      <c r="I45" s="205">
        <f t="shared" si="4"/>
        <v>0</v>
      </c>
      <c r="J45" s="205">
        <f t="shared" si="4"/>
        <v>0</v>
      </c>
      <c r="K45" s="205">
        <f t="shared" si="4"/>
        <v>0</v>
      </c>
      <c r="L45" s="203">
        <f t="shared" si="0"/>
        <v>0</v>
      </c>
      <c r="M45" s="203">
        <f t="shared" si="2"/>
        <v>0</v>
      </c>
      <c r="O45" s="208">
        <f t="shared" si="3"/>
        <v>0</v>
      </c>
    </row>
    <row r="46" spans="1:15" ht="12.75" hidden="1" customHeight="1">
      <c r="A46" s="150" t="s">
        <v>184</v>
      </c>
      <c r="B46" s="151" t="s">
        <v>185</v>
      </c>
      <c r="C46" s="158">
        <v>0</v>
      </c>
      <c r="D46" s="142">
        <v>0</v>
      </c>
      <c r="E46" s="142">
        <v>0</v>
      </c>
      <c r="F46" s="143">
        <v>0</v>
      </c>
      <c r="H46" s="209">
        <f t="shared" si="4"/>
        <v>0</v>
      </c>
      <c r="I46" s="205">
        <f t="shared" si="4"/>
        <v>0</v>
      </c>
      <c r="J46" s="205">
        <f t="shared" si="4"/>
        <v>0</v>
      </c>
      <c r="K46" s="205">
        <f t="shared" si="4"/>
        <v>0</v>
      </c>
      <c r="L46" s="203">
        <f t="shared" si="0"/>
        <v>0</v>
      </c>
      <c r="M46" s="203">
        <f t="shared" si="2"/>
        <v>0</v>
      </c>
      <c r="O46" s="208">
        <f t="shared" si="3"/>
        <v>0</v>
      </c>
    </row>
    <row r="47" spans="1:15" ht="12.75" hidden="1" customHeight="1">
      <c r="A47" s="159" t="s">
        <v>186</v>
      </c>
      <c r="B47" s="160" t="s">
        <v>187</v>
      </c>
      <c r="C47" s="158">
        <v>0</v>
      </c>
      <c r="D47" s="142">
        <v>0</v>
      </c>
      <c r="E47" s="142">
        <v>0</v>
      </c>
      <c r="F47" s="143">
        <v>0</v>
      </c>
      <c r="H47" s="205">
        <f t="shared" si="4"/>
        <v>0</v>
      </c>
      <c r="I47" s="205">
        <f t="shared" si="4"/>
        <v>0</v>
      </c>
      <c r="J47" s="205">
        <f t="shared" si="4"/>
        <v>0</v>
      </c>
      <c r="K47" s="205">
        <f t="shared" si="4"/>
        <v>0</v>
      </c>
      <c r="L47" s="203">
        <f t="shared" si="0"/>
        <v>0</v>
      </c>
      <c r="M47" s="203">
        <f t="shared" si="2"/>
        <v>0</v>
      </c>
      <c r="O47" s="208">
        <f t="shared" si="3"/>
        <v>0</v>
      </c>
    </row>
    <row r="48" spans="1:15" ht="12.75" hidden="1" customHeight="1">
      <c r="A48" s="150"/>
      <c r="B48" s="151"/>
      <c r="C48" s="141"/>
      <c r="D48" s="142"/>
      <c r="E48" s="142"/>
      <c r="F48" s="143"/>
      <c r="H48" s="209">
        <f t="shared" si="4"/>
        <v>0</v>
      </c>
      <c r="I48" s="209">
        <f t="shared" si="4"/>
        <v>0</v>
      </c>
      <c r="J48" s="209">
        <f t="shared" si="4"/>
        <v>0</v>
      </c>
      <c r="K48" s="209">
        <f t="shared" si="4"/>
        <v>0</v>
      </c>
      <c r="L48" s="203">
        <f t="shared" si="0"/>
        <v>0</v>
      </c>
      <c r="M48" s="203">
        <f t="shared" si="2"/>
        <v>0</v>
      </c>
      <c r="O48" s="208">
        <f t="shared" si="3"/>
        <v>0</v>
      </c>
    </row>
    <row r="49" spans="1:15" ht="12.75" hidden="1" customHeight="1">
      <c r="A49" s="153" t="s">
        <v>188</v>
      </c>
      <c r="B49" s="154" t="s">
        <v>189</v>
      </c>
      <c r="C49" s="158">
        <v>0</v>
      </c>
      <c r="D49" s="158">
        <v>0</v>
      </c>
      <c r="E49" s="158">
        <v>0</v>
      </c>
      <c r="F49" s="164">
        <v>0</v>
      </c>
      <c r="H49" s="209">
        <f t="shared" si="4"/>
        <v>0</v>
      </c>
      <c r="I49" s="205">
        <f t="shared" si="4"/>
        <v>0</v>
      </c>
      <c r="J49" s="205">
        <f t="shared" si="4"/>
        <v>0</v>
      </c>
      <c r="K49" s="205">
        <f t="shared" si="4"/>
        <v>0</v>
      </c>
      <c r="L49" s="203">
        <f t="shared" si="0"/>
        <v>0</v>
      </c>
      <c r="M49" s="203">
        <f t="shared" si="2"/>
        <v>0</v>
      </c>
      <c r="O49" s="208">
        <f t="shared" si="3"/>
        <v>0</v>
      </c>
    </row>
    <row r="50" spans="1:15" ht="12.75" hidden="1" customHeight="1">
      <c r="A50" s="159" t="s">
        <v>190</v>
      </c>
      <c r="B50" s="160" t="s">
        <v>191</v>
      </c>
      <c r="C50" s="158">
        <v>0</v>
      </c>
      <c r="D50" s="142">
        <v>0</v>
      </c>
      <c r="E50" s="142">
        <v>0</v>
      </c>
      <c r="F50" s="143">
        <v>0</v>
      </c>
      <c r="H50" s="209">
        <f t="shared" si="4"/>
        <v>0</v>
      </c>
      <c r="I50" s="205">
        <f t="shared" si="4"/>
        <v>0</v>
      </c>
      <c r="J50" s="205">
        <f t="shared" si="4"/>
        <v>0</v>
      </c>
      <c r="K50" s="205">
        <f t="shared" si="4"/>
        <v>0</v>
      </c>
      <c r="L50" s="203">
        <f t="shared" si="0"/>
        <v>0</v>
      </c>
      <c r="M50" s="203">
        <f t="shared" si="2"/>
        <v>0</v>
      </c>
      <c r="O50" s="208">
        <f t="shared" si="3"/>
        <v>0</v>
      </c>
    </row>
    <row r="51" spans="1:15" ht="12.75" hidden="1" customHeight="1">
      <c r="A51" s="159" t="s">
        <v>192</v>
      </c>
      <c r="B51" s="160" t="s">
        <v>193</v>
      </c>
      <c r="C51" s="158">
        <v>0</v>
      </c>
      <c r="D51" s="142">
        <v>0</v>
      </c>
      <c r="E51" s="142">
        <v>0</v>
      </c>
      <c r="F51" s="143">
        <v>0</v>
      </c>
      <c r="H51" s="205">
        <f t="shared" si="4"/>
        <v>0</v>
      </c>
      <c r="I51" s="205">
        <f t="shared" si="4"/>
        <v>0</v>
      </c>
      <c r="J51" s="205">
        <f t="shared" si="4"/>
        <v>0</v>
      </c>
      <c r="K51" s="205">
        <f t="shared" si="4"/>
        <v>0</v>
      </c>
      <c r="L51" s="203">
        <f t="shared" si="0"/>
        <v>0</v>
      </c>
      <c r="M51" s="203">
        <f t="shared" si="2"/>
        <v>0</v>
      </c>
      <c r="O51" s="208">
        <f t="shared" si="3"/>
        <v>0</v>
      </c>
    </row>
    <row r="52" spans="1:15" s="206" customFormat="1" hidden="1">
      <c r="A52" s="159"/>
      <c r="B52" s="160"/>
      <c r="C52" s="141"/>
      <c r="D52" s="142"/>
      <c r="E52" s="142"/>
      <c r="F52" s="143"/>
      <c r="H52" s="207">
        <f t="shared" si="4"/>
        <v>0</v>
      </c>
      <c r="I52" s="207">
        <f t="shared" si="4"/>
        <v>0</v>
      </c>
      <c r="J52" s="207">
        <f t="shared" si="4"/>
        <v>0</v>
      </c>
      <c r="K52" s="207">
        <f t="shared" si="4"/>
        <v>0</v>
      </c>
      <c r="L52" s="203">
        <f t="shared" si="0"/>
        <v>0</v>
      </c>
      <c r="M52" s="203">
        <f t="shared" si="2"/>
        <v>0</v>
      </c>
      <c r="O52" s="208">
        <f t="shared" si="3"/>
        <v>0</v>
      </c>
    </row>
    <row r="53" spans="1:15">
      <c r="A53" s="153">
        <v>1</v>
      </c>
      <c r="B53" s="154" t="s">
        <v>194</v>
      </c>
      <c r="C53" s="148">
        <v>700095428.72000003</v>
      </c>
      <c r="D53" s="148">
        <v>423334948.67000002</v>
      </c>
      <c r="E53" s="148">
        <v>145810376.62</v>
      </c>
      <c r="F53" s="149">
        <v>130950103.43000001</v>
      </c>
      <c r="H53" s="205">
        <f t="shared" si="4"/>
        <v>700095.42872000008</v>
      </c>
      <c r="I53" s="205">
        <f t="shared" si="4"/>
        <v>423334.94867000001</v>
      </c>
      <c r="J53" s="205">
        <f t="shared" si="4"/>
        <v>145810.37662</v>
      </c>
      <c r="K53" s="205">
        <f t="shared" si="4"/>
        <v>130950.10343</v>
      </c>
      <c r="L53" s="203">
        <f t="shared" si="0"/>
        <v>0</v>
      </c>
      <c r="M53" s="203">
        <f t="shared" si="2"/>
        <v>0</v>
      </c>
      <c r="O53" s="208">
        <f t="shared" si="3"/>
        <v>0.66336107800174537</v>
      </c>
    </row>
    <row r="54" spans="1:15" s="206" customFormat="1">
      <c r="A54" s="150"/>
      <c r="B54" s="151"/>
      <c r="C54" s="141"/>
      <c r="D54" s="142"/>
      <c r="E54" s="142"/>
      <c r="F54" s="143"/>
      <c r="H54" s="207">
        <f t="shared" si="4"/>
        <v>0</v>
      </c>
      <c r="I54" s="207">
        <f t="shared" si="4"/>
        <v>0</v>
      </c>
      <c r="J54" s="207">
        <f t="shared" si="4"/>
        <v>0</v>
      </c>
      <c r="K54" s="207">
        <f t="shared" si="4"/>
        <v>0</v>
      </c>
      <c r="L54" s="203">
        <f t="shared" si="0"/>
        <v>0</v>
      </c>
      <c r="M54" s="203">
        <f t="shared" si="2"/>
        <v>0</v>
      </c>
      <c r="O54" s="208">
        <f t="shared" si="3"/>
        <v>0</v>
      </c>
    </row>
    <row r="55" spans="1:15" ht="12.75" hidden="1" customHeight="1">
      <c r="A55" s="153" t="s">
        <v>195</v>
      </c>
      <c r="B55" s="154" t="s">
        <v>196</v>
      </c>
      <c r="C55" s="148">
        <v>0</v>
      </c>
      <c r="D55" s="148">
        <v>0</v>
      </c>
      <c r="E55" s="148">
        <v>0</v>
      </c>
      <c r="F55" s="149">
        <v>0</v>
      </c>
      <c r="H55" s="209">
        <f t="shared" si="4"/>
        <v>0</v>
      </c>
      <c r="I55" s="205">
        <f t="shared" si="4"/>
        <v>0</v>
      </c>
      <c r="J55" s="205">
        <f t="shared" si="4"/>
        <v>0</v>
      </c>
      <c r="K55" s="205">
        <f t="shared" si="4"/>
        <v>0</v>
      </c>
      <c r="L55" s="203">
        <f t="shared" si="0"/>
        <v>0</v>
      </c>
      <c r="M55" s="203">
        <f t="shared" si="2"/>
        <v>0</v>
      </c>
      <c r="O55" s="208">
        <f t="shared" si="3"/>
        <v>0</v>
      </c>
    </row>
    <row r="56" spans="1:15" ht="12" hidden="1" customHeight="1">
      <c r="A56" s="159" t="s">
        <v>197</v>
      </c>
      <c r="B56" s="160" t="s">
        <v>198</v>
      </c>
      <c r="C56" s="158">
        <v>0</v>
      </c>
      <c r="D56" s="142">
        <v>0</v>
      </c>
      <c r="E56" s="142">
        <v>0</v>
      </c>
      <c r="F56" s="143">
        <v>0</v>
      </c>
      <c r="H56" s="209">
        <f t="shared" si="4"/>
        <v>0</v>
      </c>
      <c r="I56" s="205">
        <f t="shared" si="4"/>
        <v>0</v>
      </c>
      <c r="J56" s="205">
        <f t="shared" si="4"/>
        <v>0</v>
      </c>
      <c r="K56" s="205">
        <f t="shared" si="4"/>
        <v>0</v>
      </c>
      <c r="L56" s="203">
        <f t="shared" si="0"/>
        <v>0</v>
      </c>
      <c r="M56" s="203">
        <f t="shared" si="2"/>
        <v>0</v>
      </c>
      <c r="O56" s="208">
        <f t="shared" si="3"/>
        <v>0</v>
      </c>
    </row>
    <row r="57" spans="1:15" ht="12.75" hidden="1" customHeight="1">
      <c r="A57" s="150" t="s">
        <v>199</v>
      </c>
      <c r="B57" s="151" t="s">
        <v>200</v>
      </c>
      <c r="C57" s="158">
        <v>0</v>
      </c>
      <c r="D57" s="142">
        <v>0</v>
      </c>
      <c r="E57" s="142">
        <v>0</v>
      </c>
      <c r="F57" s="143">
        <v>0</v>
      </c>
      <c r="H57" s="209">
        <f t="shared" si="4"/>
        <v>0</v>
      </c>
      <c r="I57" s="205">
        <f t="shared" si="4"/>
        <v>0</v>
      </c>
      <c r="J57" s="205">
        <f t="shared" si="4"/>
        <v>0</v>
      </c>
      <c r="K57" s="205">
        <f t="shared" si="4"/>
        <v>0</v>
      </c>
      <c r="L57" s="203">
        <f t="shared" si="0"/>
        <v>0</v>
      </c>
      <c r="M57" s="203">
        <f t="shared" si="2"/>
        <v>0</v>
      </c>
      <c r="O57" s="208">
        <f t="shared" si="3"/>
        <v>0</v>
      </c>
    </row>
    <row r="58" spans="1:15" ht="12.75" hidden="1" customHeight="1">
      <c r="A58" s="159" t="s">
        <v>201</v>
      </c>
      <c r="B58" s="160" t="s">
        <v>202</v>
      </c>
      <c r="C58" s="158">
        <v>0</v>
      </c>
      <c r="D58" s="142">
        <v>0</v>
      </c>
      <c r="E58" s="142">
        <v>0</v>
      </c>
      <c r="F58" s="143">
        <v>0</v>
      </c>
      <c r="H58" s="209">
        <f t="shared" si="4"/>
        <v>0</v>
      </c>
      <c r="I58" s="205">
        <f t="shared" si="4"/>
        <v>0</v>
      </c>
      <c r="J58" s="205">
        <f t="shared" si="4"/>
        <v>0</v>
      </c>
      <c r="K58" s="205">
        <f t="shared" si="4"/>
        <v>0</v>
      </c>
      <c r="L58" s="203">
        <f t="shared" si="0"/>
        <v>0</v>
      </c>
      <c r="M58" s="203">
        <f t="shared" si="2"/>
        <v>0</v>
      </c>
      <c r="O58" s="208">
        <f t="shared" si="3"/>
        <v>0</v>
      </c>
    </row>
    <row r="59" spans="1:15" hidden="1">
      <c r="A59" s="159" t="s">
        <v>203</v>
      </c>
      <c r="B59" s="160" t="s">
        <v>204</v>
      </c>
      <c r="C59" s="158">
        <v>0</v>
      </c>
      <c r="D59" s="142">
        <v>0</v>
      </c>
      <c r="E59" s="142">
        <v>0</v>
      </c>
      <c r="F59" s="143">
        <v>0</v>
      </c>
      <c r="H59" s="209">
        <f t="shared" si="4"/>
        <v>0</v>
      </c>
      <c r="I59" s="205">
        <f t="shared" si="4"/>
        <v>0</v>
      </c>
      <c r="J59" s="205">
        <f t="shared" si="4"/>
        <v>0</v>
      </c>
      <c r="K59" s="205">
        <f t="shared" si="4"/>
        <v>0</v>
      </c>
      <c r="L59" s="203">
        <f t="shared" si="0"/>
        <v>0</v>
      </c>
      <c r="M59" s="203">
        <f t="shared" si="2"/>
        <v>0</v>
      </c>
      <c r="O59" s="208">
        <f t="shared" si="3"/>
        <v>0</v>
      </c>
    </row>
    <row r="60" spans="1:15" hidden="1">
      <c r="A60" s="150" t="s">
        <v>205</v>
      </c>
      <c r="B60" s="151" t="s">
        <v>206</v>
      </c>
      <c r="C60" s="158">
        <v>0</v>
      </c>
      <c r="D60" s="142">
        <v>0</v>
      </c>
      <c r="E60" s="142">
        <v>0</v>
      </c>
      <c r="F60" s="143">
        <v>0</v>
      </c>
      <c r="H60" s="205">
        <f t="shared" si="4"/>
        <v>0</v>
      </c>
      <c r="I60" s="205">
        <f t="shared" si="4"/>
        <v>0</v>
      </c>
      <c r="J60" s="205">
        <f t="shared" si="4"/>
        <v>0</v>
      </c>
      <c r="K60" s="205">
        <f t="shared" si="4"/>
        <v>0</v>
      </c>
      <c r="L60" s="203">
        <f t="shared" si="0"/>
        <v>0</v>
      </c>
      <c r="M60" s="203">
        <f t="shared" si="2"/>
        <v>0</v>
      </c>
      <c r="O60" s="208">
        <f t="shared" si="3"/>
        <v>0</v>
      </c>
    </row>
    <row r="61" spans="1:15" s="206" customFormat="1" hidden="1">
      <c r="A61" s="150"/>
      <c r="B61" s="151"/>
      <c r="C61" s="141"/>
      <c r="D61" s="142"/>
      <c r="E61" s="142"/>
      <c r="F61" s="143"/>
      <c r="H61" s="207">
        <f t="shared" si="4"/>
        <v>0</v>
      </c>
      <c r="I61" s="207">
        <f t="shared" si="4"/>
        <v>0</v>
      </c>
      <c r="J61" s="207">
        <f t="shared" si="4"/>
        <v>0</v>
      </c>
      <c r="K61" s="207">
        <f t="shared" si="4"/>
        <v>0</v>
      </c>
      <c r="L61" s="203">
        <f t="shared" si="0"/>
        <v>0</v>
      </c>
      <c r="M61" s="203">
        <f t="shared" si="2"/>
        <v>0</v>
      </c>
      <c r="O61" s="208">
        <f t="shared" si="3"/>
        <v>0</v>
      </c>
    </row>
    <row r="62" spans="1:15" ht="12.75" customHeight="1">
      <c r="A62" s="153" t="s">
        <v>207</v>
      </c>
      <c r="B62" s="154" t="s">
        <v>208</v>
      </c>
      <c r="C62" s="148">
        <v>565000</v>
      </c>
      <c r="D62" s="148">
        <v>565000</v>
      </c>
      <c r="E62" s="148">
        <v>0</v>
      </c>
      <c r="F62" s="149">
        <v>0</v>
      </c>
      <c r="G62" s="200"/>
      <c r="H62" s="209">
        <f t="shared" si="4"/>
        <v>565</v>
      </c>
      <c r="I62" s="205">
        <f t="shared" si="4"/>
        <v>565</v>
      </c>
      <c r="J62" s="205">
        <f t="shared" si="4"/>
        <v>0</v>
      </c>
      <c r="K62" s="205">
        <f t="shared" si="4"/>
        <v>0</v>
      </c>
      <c r="L62" s="203">
        <f t="shared" si="0"/>
        <v>0</v>
      </c>
      <c r="M62" s="203">
        <f t="shared" si="2"/>
        <v>0</v>
      </c>
      <c r="O62" s="208">
        <f t="shared" si="3"/>
        <v>5.3535417272505186E-4</v>
      </c>
    </row>
    <row r="63" spans="1:15" ht="12.75" hidden="1" customHeight="1">
      <c r="A63" s="150" t="s">
        <v>209</v>
      </c>
      <c r="B63" s="151" t="s">
        <v>210</v>
      </c>
      <c r="C63" s="158">
        <v>0</v>
      </c>
      <c r="D63" s="142">
        <v>0</v>
      </c>
      <c r="E63" s="142">
        <v>0</v>
      </c>
      <c r="F63" s="143">
        <v>0</v>
      </c>
      <c r="H63" s="209">
        <f t="shared" si="4"/>
        <v>0</v>
      </c>
      <c r="I63" s="205">
        <f t="shared" si="4"/>
        <v>0</v>
      </c>
      <c r="J63" s="205">
        <f t="shared" si="4"/>
        <v>0</v>
      </c>
      <c r="K63" s="205">
        <f t="shared" si="4"/>
        <v>0</v>
      </c>
      <c r="L63" s="203">
        <f t="shared" si="0"/>
        <v>0</v>
      </c>
      <c r="M63" s="203">
        <f t="shared" si="2"/>
        <v>0</v>
      </c>
      <c r="O63" s="208">
        <f t="shared" si="3"/>
        <v>0</v>
      </c>
    </row>
    <row r="64" spans="1:15" hidden="1">
      <c r="A64" s="150" t="s">
        <v>211</v>
      </c>
      <c r="B64" s="151" t="s">
        <v>212</v>
      </c>
      <c r="C64" s="158">
        <v>0</v>
      </c>
      <c r="D64" s="142">
        <v>0</v>
      </c>
      <c r="E64" s="142">
        <v>0</v>
      </c>
      <c r="F64" s="143">
        <v>0</v>
      </c>
      <c r="H64" s="209">
        <f t="shared" si="4"/>
        <v>0</v>
      </c>
      <c r="I64" s="205">
        <f t="shared" si="4"/>
        <v>0</v>
      </c>
      <c r="J64" s="205">
        <f t="shared" si="4"/>
        <v>0</v>
      </c>
      <c r="K64" s="205">
        <f t="shared" si="4"/>
        <v>0</v>
      </c>
      <c r="L64" s="203">
        <f t="shared" si="0"/>
        <v>0</v>
      </c>
      <c r="M64" s="203">
        <f t="shared" si="2"/>
        <v>0</v>
      </c>
      <c r="O64" s="208">
        <f t="shared" si="3"/>
        <v>0</v>
      </c>
    </row>
    <row r="65" spans="1:15">
      <c r="A65" s="150" t="s">
        <v>213</v>
      </c>
      <c r="B65" s="151" t="s">
        <v>214</v>
      </c>
      <c r="C65" s="158">
        <v>565000</v>
      </c>
      <c r="D65" s="142">
        <v>565000</v>
      </c>
      <c r="E65" s="142">
        <v>0</v>
      </c>
      <c r="F65" s="143">
        <v>0</v>
      </c>
      <c r="H65" s="209">
        <f t="shared" si="4"/>
        <v>565</v>
      </c>
      <c r="I65" s="205">
        <f t="shared" si="4"/>
        <v>565</v>
      </c>
      <c r="J65" s="205">
        <f t="shared" si="4"/>
        <v>0</v>
      </c>
      <c r="K65" s="205">
        <f t="shared" si="4"/>
        <v>0</v>
      </c>
      <c r="L65" s="203">
        <f t="shared" si="0"/>
        <v>0</v>
      </c>
      <c r="M65" s="203">
        <f t="shared" si="2"/>
        <v>0</v>
      </c>
      <c r="O65" s="208">
        <f t="shared" si="3"/>
        <v>5.3535417272505186E-4</v>
      </c>
    </row>
    <row r="66" spans="1:15" hidden="1">
      <c r="A66" s="150" t="s">
        <v>215</v>
      </c>
      <c r="B66" s="151" t="s">
        <v>216</v>
      </c>
      <c r="C66" s="158">
        <v>0</v>
      </c>
      <c r="D66" s="142">
        <v>0</v>
      </c>
      <c r="E66" s="142">
        <v>0</v>
      </c>
      <c r="F66" s="143">
        <v>0</v>
      </c>
      <c r="H66" s="209">
        <f t="shared" si="4"/>
        <v>0</v>
      </c>
      <c r="I66" s="205">
        <f t="shared" si="4"/>
        <v>0</v>
      </c>
      <c r="J66" s="205">
        <f t="shared" si="4"/>
        <v>0</v>
      </c>
      <c r="K66" s="205">
        <f t="shared" si="4"/>
        <v>0</v>
      </c>
      <c r="L66" s="203">
        <f t="shared" si="0"/>
        <v>0</v>
      </c>
      <c r="M66" s="203">
        <f t="shared" si="2"/>
        <v>0</v>
      </c>
      <c r="O66" s="208">
        <f t="shared" si="3"/>
        <v>0</v>
      </c>
    </row>
    <row r="67" spans="1:15" hidden="1">
      <c r="A67" s="150" t="s">
        <v>217</v>
      </c>
      <c r="B67" s="151" t="s">
        <v>218</v>
      </c>
      <c r="C67" s="158">
        <v>0</v>
      </c>
      <c r="D67" s="142">
        <v>0</v>
      </c>
      <c r="E67" s="142">
        <v>0</v>
      </c>
      <c r="F67" s="143">
        <v>0</v>
      </c>
      <c r="H67" s="205">
        <f t="shared" si="4"/>
        <v>0</v>
      </c>
      <c r="I67" s="205">
        <f t="shared" si="4"/>
        <v>0</v>
      </c>
      <c r="J67" s="205">
        <f t="shared" si="4"/>
        <v>0</v>
      </c>
      <c r="K67" s="205">
        <f t="shared" si="4"/>
        <v>0</v>
      </c>
      <c r="L67" s="203">
        <f t="shared" si="0"/>
        <v>0</v>
      </c>
      <c r="M67" s="203">
        <f t="shared" si="2"/>
        <v>0</v>
      </c>
      <c r="O67" s="208">
        <f t="shared" si="3"/>
        <v>0</v>
      </c>
    </row>
    <row r="68" spans="1:15" s="206" customFormat="1">
      <c r="A68" s="150"/>
      <c r="B68" s="151"/>
      <c r="C68" s="141"/>
      <c r="D68" s="142"/>
      <c r="E68" s="142"/>
      <c r="F68" s="143"/>
      <c r="H68" s="207">
        <f t="shared" si="4"/>
        <v>0</v>
      </c>
      <c r="I68" s="207">
        <f t="shared" si="4"/>
        <v>0</v>
      </c>
      <c r="J68" s="207">
        <f t="shared" si="4"/>
        <v>0</v>
      </c>
      <c r="K68" s="207">
        <f t="shared" si="4"/>
        <v>0</v>
      </c>
      <c r="L68" s="203">
        <f t="shared" si="0"/>
        <v>0</v>
      </c>
      <c r="M68" s="203">
        <f t="shared" si="2"/>
        <v>0</v>
      </c>
      <c r="O68" s="208">
        <f t="shared" si="3"/>
        <v>0</v>
      </c>
    </row>
    <row r="69" spans="1:15">
      <c r="A69" s="153" t="s">
        <v>219</v>
      </c>
      <c r="B69" s="154" t="s">
        <v>220</v>
      </c>
      <c r="C69" s="148">
        <v>395256428.67000002</v>
      </c>
      <c r="D69" s="148">
        <v>335611428.67000002</v>
      </c>
      <c r="E69" s="148">
        <v>35080000</v>
      </c>
      <c r="F69" s="149">
        <v>24565000</v>
      </c>
      <c r="G69" s="200"/>
      <c r="H69" s="209">
        <f t="shared" si="4"/>
        <v>395256.42866999999</v>
      </c>
      <c r="I69" s="205">
        <f t="shared" si="4"/>
        <v>335611.42866999999</v>
      </c>
      <c r="J69" s="205">
        <f t="shared" si="4"/>
        <v>35080</v>
      </c>
      <c r="K69" s="205">
        <f t="shared" si="4"/>
        <v>24565</v>
      </c>
      <c r="L69" s="203">
        <f t="shared" si="0"/>
        <v>0</v>
      </c>
      <c r="M69" s="203">
        <f t="shared" si="2"/>
        <v>0</v>
      </c>
      <c r="O69" s="208">
        <f t="shared" si="3"/>
        <v>0.37451712988475461</v>
      </c>
    </row>
    <row r="70" spans="1:15" ht="12.75" customHeight="1">
      <c r="A70" s="150" t="s">
        <v>221</v>
      </c>
      <c r="B70" s="151" t="s">
        <v>222</v>
      </c>
      <c r="C70" s="158">
        <v>1500000</v>
      </c>
      <c r="D70" s="142">
        <v>0</v>
      </c>
      <c r="E70" s="142">
        <v>1500000</v>
      </c>
      <c r="F70" s="143">
        <v>0</v>
      </c>
      <c r="H70" s="209">
        <f t="shared" si="4"/>
        <v>1500</v>
      </c>
      <c r="I70" s="205">
        <f t="shared" si="4"/>
        <v>0</v>
      </c>
      <c r="J70" s="205">
        <f t="shared" si="4"/>
        <v>1500</v>
      </c>
      <c r="K70" s="205">
        <f t="shared" si="4"/>
        <v>0</v>
      </c>
      <c r="L70" s="203">
        <f t="shared" si="0"/>
        <v>0</v>
      </c>
      <c r="M70" s="203">
        <f t="shared" si="2"/>
        <v>0</v>
      </c>
      <c r="O70" s="211">
        <f>C70/$C$9</f>
        <v>1.4212942638718192E-3</v>
      </c>
    </row>
    <row r="71" spans="1:15">
      <c r="A71" s="150" t="s">
        <v>223</v>
      </c>
      <c r="B71" s="151" t="s">
        <v>224</v>
      </c>
      <c r="C71" s="158">
        <v>2250000</v>
      </c>
      <c r="D71" s="142">
        <v>2250000</v>
      </c>
      <c r="E71" s="142">
        <v>0</v>
      </c>
      <c r="F71" s="143">
        <v>0</v>
      </c>
      <c r="H71" s="209">
        <f t="shared" si="4"/>
        <v>2250</v>
      </c>
      <c r="I71" s="205">
        <f t="shared" si="4"/>
        <v>2250</v>
      </c>
      <c r="J71" s="205">
        <f t="shared" si="4"/>
        <v>0</v>
      </c>
      <c r="K71" s="205">
        <f t="shared" si="4"/>
        <v>0</v>
      </c>
      <c r="L71" s="203">
        <f t="shared" si="0"/>
        <v>0</v>
      </c>
      <c r="M71" s="203">
        <f t="shared" si="2"/>
        <v>0</v>
      </c>
      <c r="O71" s="211">
        <f t="shared" si="3"/>
        <v>2.1319413958077287E-3</v>
      </c>
    </row>
    <row r="72" spans="1:15" ht="12.75" customHeight="1">
      <c r="A72" s="150" t="s">
        <v>225</v>
      </c>
      <c r="B72" s="151" t="s">
        <v>226</v>
      </c>
      <c r="C72" s="158">
        <v>3150000</v>
      </c>
      <c r="D72" s="142">
        <v>150000</v>
      </c>
      <c r="E72" s="142">
        <v>3000000</v>
      </c>
      <c r="F72" s="143">
        <v>0</v>
      </c>
      <c r="H72" s="209">
        <f t="shared" si="4"/>
        <v>3150</v>
      </c>
      <c r="I72" s="205">
        <f t="shared" si="4"/>
        <v>150</v>
      </c>
      <c r="J72" s="205">
        <f t="shared" si="4"/>
        <v>3000</v>
      </c>
      <c r="K72" s="205">
        <f t="shared" si="4"/>
        <v>0</v>
      </c>
      <c r="L72" s="203">
        <f t="shared" si="0"/>
        <v>0</v>
      </c>
      <c r="M72" s="203">
        <f t="shared" si="2"/>
        <v>0</v>
      </c>
      <c r="O72" s="208">
        <f t="shared" si="3"/>
        <v>2.9847179541308204E-3</v>
      </c>
    </row>
    <row r="73" spans="1:15" ht="12.75" hidden="1" customHeight="1">
      <c r="A73" s="159" t="s">
        <v>227</v>
      </c>
      <c r="B73" s="160" t="s">
        <v>228</v>
      </c>
      <c r="C73" s="158">
        <v>0</v>
      </c>
      <c r="D73" s="142">
        <v>0</v>
      </c>
      <c r="E73" s="142">
        <v>0</v>
      </c>
      <c r="F73" s="143">
        <v>0</v>
      </c>
      <c r="H73" s="209">
        <f t="shared" si="4"/>
        <v>0</v>
      </c>
      <c r="I73" s="205">
        <f>+D73/1000</f>
        <v>0</v>
      </c>
      <c r="J73" s="205">
        <f>+E73/1000</f>
        <v>0</v>
      </c>
      <c r="K73" s="205">
        <f>+F73/1000</f>
        <v>0</v>
      </c>
      <c r="L73" s="203">
        <f t="shared" ref="L73:L136" si="5">SUM(I73:K73)-H73</f>
        <v>0</v>
      </c>
      <c r="M73" s="203">
        <f t="shared" si="2"/>
        <v>0</v>
      </c>
      <c r="O73" s="208">
        <f t="shared" si="3"/>
        <v>0</v>
      </c>
    </row>
    <row r="74" spans="1:15" ht="12.75" hidden="1" customHeight="1">
      <c r="A74" s="150" t="s">
        <v>229</v>
      </c>
      <c r="B74" s="151" t="s">
        <v>230</v>
      </c>
      <c r="C74" s="158">
        <v>0</v>
      </c>
      <c r="D74" s="142">
        <v>0</v>
      </c>
      <c r="E74" s="142">
        <v>0</v>
      </c>
      <c r="F74" s="143">
        <v>0</v>
      </c>
      <c r="H74" s="209">
        <f t="shared" ref="H74:K137" si="6">+C74/1000</f>
        <v>0</v>
      </c>
      <c r="I74" s="205">
        <f t="shared" si="6"/>
        <v>0</v>
      </c>
      <c r="J74" s="205">
        <f t="shared" si="6"/>
        <v>0</v>
      </c>
      <c r="K74" s="205">
        <f t="shared" si="6"/>
        <v>0</v>
      </c>
      <c r="L74" s="203">
        <f t="shared" si="5"/>
        <v>0</v>
      </c>
      <c r="M74" s="203">
        <f t="shared" si="2"/>
        <v>0</v>
      </c>
      <c r="O74" s="208">
        <f t="shared" si="3"/>
        <v>0</v>
      </c>
    </row>
    <row r="75" spans="1:15" ht="12.75" customHeight="1">
      <c r="A75" s="159" t="s">
        <v>231</v>
      </c>
      <c r="B75" s="160" t="s">
        <v>232</v>
      </c>
      <c r="C75" s="158">
        <v>11500000</v>
      </c>
      <c r="D75" s="142">
        <v>0</v>
      </c>
      <c r="E75" s="142">
        <v>0</v>
      </c>
      <c r="F75" s="143">
        <v>11500000</v>
      </c>
      <c r="H75" s="209">
        <f t="shared" si="6"/>
        <v>11500</v>
      </c>
      <c r="I75" s="205">
        <f t="shared" si="6"/>
        <v>0</v>
      </c>
      <c r="J75" s="205">
        <f t="shared" si="6"/>
        <v>0</v>
      </c>
      <c r="K75" s="205">
        <f t="shared" si="6"/>
        <v>11500</v>
      </c>
      <c r="L75" s="203">
        <f t="shared" si="5"/>
        <v>0</v>
      </c>
      <c r="M75" s="203">
        <f t="shared" ref="M75:M138" si="7">+H76-C76/1000</f>
        <v>0</v>
      </c>
      <c r="O75" s="208">
        <f t="shared" si="3"/>
        <v>1.0896589356350614E-2</v>
      </c>
    </row>
    <row r="76" spans="1:15">
      <c r="A76" s="159" t="s">
        <v>233</v>
      </c>
      <c r="B76" s="160" t="s">
        <v>234</v>
      </c>
      <c r="C76" s="158">
        <v>376856428.67000002</v>
      </c>
      <c r="D76" s="142">
        <v>333211428.67000002</v>
      </c>
      <c r="E76" s="142">
        <v>30580000</v>
      </c>
      <c r="F76" s="143">
        <v>13065000</v>
      </c>
      <c r="H76" s="205">
        <f t="shared" si="6"/>
        <v>376856.42866999999</v>
      </c>
      <c r="I76" s="205">
        <f t="shared" si="6"/>
        <v>333211.42866999999</v>
      </c>
      <c r="J76" s="205">
        <f t="shared" si="6"/>
        <v>30580</v>
      </c>
      <c r="K76" s="205">
        <f t="shared" si="6"/>
        <v>13065</v>
      </c>
      <c r="L76" s="203">
        <f t="shared" si="5"/>
        <v>0</v>
      </c>
      <c r="M76" s="203">
        <f t="shared" si="7"/>
        <v>0</v>
      </c>
      <c r="O76" s="208">
        <f t="shared" si="3"/>
        <v>0.3570825869145936</v>
      </c>
    </row>
    <row r="77" spans="1:15" s="206" customFormat="1">
      <c r="A77" s="150"/>
      <c r="B77" s="151"/>
      <c r="C77" s="141"/>
      <c r="D77" s="142"/>
      <c r="E77" s="142"/>
      <c r="F77" s="143"/>
      <c r="H77" s="207">
        <f t="shared" si="6"/>
        <v>0</v>
      </c>
      <c r="I77" s="207">
        <f t="shared" si="6"/>
        <v>0</v>
      </c>
      <c r="J77" s="207">
        <f t="shared" si="6"/>
        <v>0</v>
      </c>
      <c r="K77" s="207">
        <f t="shared" si="6"/>
        <v>0</v>
      </c>
      <c r="L77" s="203">
        <f t="shared" si="5"/>
        <v>0</v>
      </c>
      <c r="M77" s="203">
        <f t="shared" si="7"/>
        <v>0</v>
      </c>
      <c r="O77" s="208">
        <f t="shared" ref="O77:O140" si="8">C77/$C$9</f>
        <v>0</v>
      </c>
    </row>
    <row r="78" spans="1:15" ht="12.75" customHeight="1">
      <c r="A78" s="153" t="s">
        <v>235</v>
      </c>
      <c r="B78" s="154" t="s">
        <v>236</v>
      </c>
      <c r="C78" s="148">
        <v>163405376.62</v>
      </c>
      <c r="D78" s="148">
        <v>51350000</v>
      </c>
      <c r="E78" s="148">
        <v>64005376.619999997</v>
      </c>
      <c r="F78" s="149">
        <v>48050000</v>
      </c>
      <c r="H78" s="209">
        <f t="shared" si="6"/>
        <v>163405.37662</v>
      </c>
      <c r="I78" s="205">
        <f t="shared" si="6"/>
        <v>51350</v>
      </c>
      <c r="J78" s="205">
        <f t="shared" si="6"/>
        <v>64005.376619999995</v>
      </c>
      <c r="K78" s="205">
        <f t="shared" si="6"/>
        <v>48050</v>
      </c>
      <c r="L78" s="203">
        <f t="shared" si="5"/>
        <v>0</v>
      </c>
      <c r="M78" s="203">
        <f t="shared" si="7"/>
        <v>0</v>
      </c>
      <c r="O78" s="208">
        <f t="shared" si="8"/>
        <v>0.15483141631721353</v>
      </c>
    </row>
    <row r="79" spans="1:15" hidden="1">
      <c r="A79" s="159" t="s">
        <v>237</v>
      </c>
      <c r="B79" s="160" t="s">
        <v>238</v>
      </c>
      <c r="C79" s="158">
        <v>0</v>
      </c>
      <c r="D79" s="142">
        <v>0</v>
      </c>
      <c r="E79" s="142">
        <v>0</v>
      </c>
      <c r="F79" s="143">
        <v>0</v>
      </c>
      <c r="H79" s="209">
        <f t="shared" si="6"/>
        <v>0</v>
      </c>
      <c r="I79" s="205">
        <f t="shared" si="6"/>
        <v>0</v>
      </c>
      <c r="J79" s="205">
        <f t="shared" si="6"/>
        <v>0</v>
      </c>
      <c r="K79" s="205">
        <f t="shared" si="6"/>
        <v>0</v>
      </c>
      <c r="L79" s="203">
        <f t="shared" si="5"/>
        <v>0</v>
      </c>
      <c r="M79" s="203">
        <f t="shared" si="7"/>
        <v>0</v>
      </c>
      <c r="O79" s="208">
        <f t="shared" si="8"/>
        <v>0</v>
      </c>
    </row>
    <row r="80" spans="1:15">
      <c r="A80" s="150" t="s">
        <v>239</v>
      </c>
      <c r="B80" s="151" t="s">
        <v>240</v>
      </c>
      <c r="C80" s="158">
        <v>1000000</v>
      </c>
      <c r="D80" s="142">
        <v>0</v>
      </c>
      <c r="E80" s="142">
        <v>0</v>
      </c>
      <c r="F80" s="143">
        <v>1000000</v>
      </c>
      <c r="H80" s="209">
        <f t="shared" si="6"/>
        <v>1000</v>
      </c>
      <c r="I80" s="205">
        <f t="shared" si="6"/>
        <v>0</v>
      </c>
      <c r="J80" s="205">
        <f t="shared" si="6"/>
        <v>0</v>
      </c>
      <c r="K80" s="205">
        <f t="shared" si="6"/>
        <v>1000</v>
      </c>
      <c r="L80" s="203">
        <f t="shared" si="5"/>
        <v>0</v>
      </c>
      <c r="M80" s="203">
        <f t="shared" si="7"/>
        <v>0</v>
      </c>
      <c r="O80" s="208">
        <f t="shared" si="8"/>
        <v>9.4752950924787945E-4</v>
      </c>
    </row>
    <row r="81" spans="1:15" ht="12.75" hidden="1" customHeight="1">
      <c r="A81" s="150" t="s">
        <v>241</v>
      </c>
      <c r="B81" s="151" t="s">
        <v>242</v>
      </c>
      <c r="C81" s="158">
        <v>0</v>
      </c>
      <c r="D81" s="142">
        <v>0</v>
      </c>
      <c r="E81" s="142">
        <v>0</v>
      </c>
      <c r="F81" s="143">
        <v>0</v>
      </c>
      <c r="H81" s="209">
        <f t="shared" si="6"/>
        <v>0</v>
      </c>
      <c r="I81" s="205">
        <f t="shared" si="6"/>
        <v>0</v>
      </c>
      <c r="J81" s="205">
        <f t="shared" si="6"/>
        <v>0</v>
      </c>
      <c r="K81" s="205">
        <f t="shared" si="6"/>
        <v>0</v>
      </c>
      <c r="L81" s="203">
        <f t="shared" si="5"/>
        <v>0</v>
      </c>
      <c r="M81" s="203">
        <f t="shared" si="7"/>
        <v>0</v>
      </c>
      <c r="O81" s="208">
        <f t="shared" si="8"/>
        <v>0</v>
      </c>
    </row>
    <row r="82" spans="1:15" ht="12.75" customHeight="1">
      <c r="A82" s="159" t="s">
        <v>243</v>
      </c>
      <c r="B82" s="160" t="s">
        <v>244</v>
      </c>
      <c r="C82" s="158">
        <v>6450000</v>
      </c>
      <c r="D82" s="142">
        <v>0</v>
      </c>
      <c r="E82" s="142">
        <v>0</v>
      </c>
      <c r="F82" s="143">
        <v>6450000</v>
      </c>
      <c r="H82" s="209">
        <f t="shared" si="6"/>
        <v>6450</v>
      </c>
      <c r="I82" s="205">
        <f t="shared" si="6"/>
        <v>0</v>
      </c>
      <c r="J82" s="205">
        <f t="shared" si="6"/>
        <v>0</v>
      </c>
      <c r="K82" s="205">
        <f t="shared" si="6"/>
        <v>6450</v>
      </c>
      <c r="L82" s="203">
        <f t="shared" si="5"/>
        <v>0</v>
      </c>
      <c r="M82" s="203">
        <f t="shared" si="7"/>
        <v>0</v>
      </c>
      <c r="O82" s="208">
        <f t="shared" si="8"/>
        <v>6.1115653346488228E-3</v>
      </c>
    </row>
    <row r="83" spans="1:15" hidden="1">
      <c r="A83" s="150" t="s">
        <v>245</v>
      </c>
      <c r="B83" s="151" t="s">
        <v>246</v>
      </c>
      <c r="C83" s="158">
        <v>0</v>
      </c>
      <c r="D83" s="142">
        <v>0</v>
      </c>
      <c r="E83" s="142">
        <v>0</v>
      </c>
      <c r="F83" s="143">
        <v>0</v>
      </c>
      <c r="H83" s="209">
        <f t="shared" si="6"/>
        <v>0</v>
      </c>
      <c r="I83" s="205">
        <f t="shared" si="6"/>
        <v>0</v>
      </c>
      <c r="J83" s="205">
        <f t="shared" si="6"/>
        <v>0</v>
      </c>
      <c r="K83" s="205">
        <f t="shared" si="6"/>
        <v>0</v>
      </c>
      <c r="L83" s="203">
        <f t="shared" si="5"/>
        <v>0</v>
      </c>
      <c r="M83" s="203">
        <f t="shared" si="7"/>
        <v>0</v>
      </c>
      <c r="O83" s="208">
        <f t="shared" si="8"/>
        <v>0</v>
      </c>
    </row>
    <row r="84" spans="1:15" ht="12.75" customHeight="1">
      <c r="A84" s="150" t="s">
        <v>247</v>
      </c>
      <c r="B84" s="151" t="s">
        <v>248</v>
      </c>
      <c r="C84" s="158">
        <v>140655376.62</v>
      </c>
      <c r="D84" s="142">
        <v>49650000</v>
      </c>
      <c r="E84" s="142">
        <v>56005376.619999997</v>
      </c>
      <c r="F84" s="143">
        <v>35000000</v>
      </c>
      <c r="H84" s="209">
        <f t="shared" si="6"/>
        <v>140655.37662</v>
      </c>
      <c r="I84" s="205">
        <f t="shared" si="6"/>
        <v>49650</v>
      </c>
      <c r="J84" s="205">
        <f t="shared" si="6"/>
        <v>56005.376619999995</v>
      </c>
      <c r="K84" s="205">
        <f t="shared" si="6"/>
        <v>35000</v>
      </c>
      <c r="L84" s="203">
        <f t="shared" si="5"/>
        <v>0</v>
      </c>
      <c r="M84" s="203">
        <f t="shared" si="7"/>
        <v>0</v>
      </c>
      <c r="O84" s="208">
        <f t="shared" si="8"/>
        <v>0.13327511998182426</v>
      </c>
    </row>
    <row r="85" spans="1:15">
      <c r="A85" s="150" t="s">
        <v>249</v>
      </c>
      <c r="B85" s="151" t="s">
        <v>250</v>
      </c>
      <c r="C85" s="158">
        <v>15300000</v>
      </c>
      <c r="D85" s="142">
        <v>1700000</v>
      </c>
      <c r="E85" s="142">
        <v>8000000</v>
      </c>
      <c r="F85" s="143">
        <v>5600000</v>
      </c>
      <c r="H85" s="205">
        <f t="shared" si="6"/>
        <v>15300</v>
      </c>
      <c r="I85" s="205">
        <f t="shared" si="6"/>
        <v>1700</v>
      </c>
      <c r="J85" s="205">
        <f t="shared" si="6"/>
        <v>8000</v>
      </c>
      <c r="K85" s="205">
        <f t="shared" si="6"/>
        <v>5600</v>
      </c>
      <c r="L85" s="203">
        <f t="shared" si="5"/>
        <v>0</v>
      </c>
      <c r="M85" s="203">
        <f t="shared" si="7"/>
        <v>0</v>
      </c>
      <c r="O85" s="208">
        <f t="shared" si="8"/>
        <v>1.4497201491492556E-2</v>
      </c>
    </row>
    <row r="86" spans="1:15" s="206" customFormat="1">
      <c r="A86" s="150"/>
      <c r="B86" s="151"/>
      <c r="C86" s="141"/>
      <c r="D86" s="142"/>
      <c r="E86" s="142"/>
      <c r="F86" s="143"/>
      <c r="H86" s="207">
        <f t="shared" si="6"/>
        <v>0</v>
      </c>
      <c r="I86" s="207">
        <f t="shared" si="6"/>
        <v>0</v>
      </c>
      <c r="J86" s="207">
        <f t="shared" si="6"/>
        <v>0</v>
      </c>
      <c r="K86" s="207">
        <f t="shared" si="6"/>
        <v>0</v>
      </c>
      <c r="L86" s="203">
        <f t="shared" si="5"/>
        <v>0</v>
      </c>
      <c r="M86" s="203">
        <f t="shared" si="7"/>
        <v>0</v>
      </c>
      <c r="O86" s="208">
        <f t="shared" si="8"/>
        <v>0</v>
      </c>
    </row>
    <row r="87" spans="1:15">
      <c r="A87" s="153" t="s">
        <v>251</v>
      </c>
      <c r="B87" s="154" t="s">
        <v>252</v>
      </c>
      <c r="C87" s="148">
        <v>4000000</v>
      </c>
      <c r="D87" s="148">
        <v>1175000</v>
      </c>
      <c r="E87" s="148">
        <v>2825000</v>
      </c>
      <c r="F87" s="149">
        <v>0</v>
      </c>
      <c r="H87" s="209">
        <f t="shared" si="6"/>
        <v>4000</v>
      </c>
      <c r="I87" s="205">
        <f t="shared" si="6"/>
        <v>1175</v>
      </c>
      <c r="J87" s="205">
        <f t="shared" si="6"/>
        <v>2825</v>
      </c>
      <c r="K87" s="205">
        <f t="shared" si="6"/>
        <v>0</v>
      </c>
      <c r="L87" s="203">
        <f t="shared" si="5"/>
        <v>0</v>
      </c>
      <c r="M87" s="203">
        <f t="shared" si="7"/>
        <v>0</v>
      </c>
      <c r="O87" s="208">
        <f t="shared" si="8"/>
        <v>3.7901180369915178E-3</v>
      </c>
    </row>
    <row r="88" spans="1:15" hidden="1">
      <c r="A88" s="150" t="s">
        <v>253</v>
      </c>
      <c r="B88" s="151" t="s">
        <v>254</v>
      </c>
      <c r="C88" s="158">
        <v>0</v>
      </c>
      <c r="D88" s="142">
        <v>0</v>
      </c>
      <c r="E88" s="142">
        <v>0</v>
      </c>
      <c r="F88" s="143">
        <v>0</v>
      </c>
      <c r="H88" s="209">
        <f t="shared" si="6"/>
        <v>0</v>
      </c>
      <c r="I88" s="205">
        <f t="shared" si="6"/>
        <v>0</v>
      </c>
      <c r="J88" s="205">
        <f t="shared" si="6"/>
        <v>0</v>
      </c>
      <c r="K88" s="205">
        <f t="shared" si="6"/>
        <v>0</v>
      </c>
      <c r="L88" s="203">
        <f t="shared" si="5"/>
        <v>0</v>
      </c>
      <c r="M88" s="203">
        <f t="shared" si="7"/>
        <v>0</v>
      </c>
      <c r="O88" s="208">
        <f t="shared" si="8"/>
        <v>0</v>
      </c>
    </row>
    <row r="89" spans="1:15" hidden="1">
      <c r="A89" s="150" t="s">
        <v>255</v>
      </c>
      <c r="B89" s="151" t="s">
        <v>256</v>
      </c>
      <c r="C89" s="158">
        <v>0</v>
      </c>
      <c r="D89" s="142">
        <v>0</v>
      </c>
      <c r="E89" s="142">
        <v>0</v>
      </c>
      <c r="F89" s="143">
        <v>0</v>
      </c>
      <c r="H89" s="209">
        <f t="shared" si="6"/>
        <v>0</v>
      </c>
      <c r="I89" s="205">
        <f t="shared" si="6"/>
        <v>0</v>
      </c>
      <c r="J89" s="205">
        <f t="shared" si="6"/>
        <v>0</v>
      </c>
      <c r="K89" s="205">
        <f t="shared" si="6"/>
        <v>0</v>
      </c>
      <c r="L89" s="203">
        <f t="shared" si="5"/>
        <v>0</v>
      </c>
      <c r="M89" s="203">
        <f t="shared" si="7"/>
        <v>0</v>
      </c>
      <c r="O89" s="208">
        <f t="shared" si="8"/>
        <v>0</v>
      </c>
    </row>
    <row r="90" spans="1:15">
      <c r="A90" s="150" t="s">
        <v>257</v>
      </c>
      <c r="B90" s="151" t="s">
        <v>258</v>
      </c>
      <c r="C90" s="158">
        <v>2000000</v>
      </c>
      <c r="D90" s="142">
        <v>750000</v>
      </c>
      <c r="E90" s="142">
        <v>1250000</v>
      </c>
      <c r="F90" s="143">
        <v>0</v>
      </c>
      <c r="H90" s="209">
        <f t="shared" si="6"/>
        <v>2000</v>
      </c>
      <c r="I90" s="205">
        <f t="shared" si="6"/>
        <v>750</v>
      </c>
      <c r="J90" s="205">
        <f t="shared" si="6"/>
        <v>1250</v>
      </c>
      <c r="K90" s="205">
        <f t="shared" si="6"/>
        <v>0</v>
      </c>
      <c r="L90" s="203">
        <f t="shared" si="5"/>
        <v>0</v>
      </c>
      <c r="M90" s="203">
        <f t="shared" si="7"/>
        <v>0</v>
      </c>
      <c r="O90" s="208">
        <f t="shared" si="8"/>
        <v>1.8950590184957589E-3</v>
      </c>
    </row>
    <row r="91" spans="1:15">
      <c r="A91" s="150" t="s">
        <v>259</v>
      </c>
      <c r="B91" s="151" t="s">
        <v>260</v>
      </c>
      <c r="C91" s="158">
        <v>2000000</v>
      </c>
      <c r="D91" s="142">
        <v>425000</v>
      </c>
      <c r="E91" s="142">
        <v>1575000</v>
      </c>
      <c r="F91" s="143">
        <v>0</v>
      </c>
      <c r="H91" s="205">
        <f t="shared" si="6"/>
        <v>2000</v>
      </c>
      <c r="I91" s="205">
        <f t="shared" si="6"/>
        <v>425</v>
      </c>
      <c r="J91" s="205">
        <f t="shared" si="6"/>
        <v>1575</v>
      </c>
      <c r="K91" s="205">
        <f t="shared" si="6"/>
        <v>0</v>
      </c>
      <c r="L91" s="203">
        <f t="shared" si="5"/>
        <v>0</v>
      </c>
      <c r="M91" s="203">
        <f t="shared" si="7"/>
        <v>0</v>
      </c>
      <c r="O91" s="208">
        <f t="shared" si="8"/>
        <v>1.8950590184957589E-3</v>
      </c>
    </row>
    <row r="92" spans="1:15" s="206" customFormat="1">
      <c r="A92" s="150"/>
      <c r="B92" s="151"/>
      <c r="C92" s="141"/>
      <c r="D92" s="142"/>
      <c r="E92" s="142"/>
      <c r="F92" s="143"/>
      <c r="H92" s="207">
        <f t="shared" si="6"/>
        <v>0</v>
      </c>
      <c r="I92" s="207">
        <f t="shared" si="6"/>
        <v>0</v>
      </c>
      <c r="J92" s="207">
        <f t="shared" si="6"/>
        <v>0</v>
      </c>
      <c r="K92" s="207">
        <f t="shared" si="6"/>
        <v>0</v>
      </c>
      <c r="L92" s="203">
        <f t="shared" si="5"/>
        <v>0</v>
      </c>
      <c r="M92" s="203">
        <f t="shared" si="7"/>
        <v>0</v>
      </c>
      <c r="O92" s="208">
        <f t="shared" si="8"/>
        <v>0</v>
      </c>
    </row>
    <row r="93" spans="1:15" ht="24.75" customHeight="1">
      <c r="A93" s="153" t="s">
        <v>261</v>
      </c>
      <c r="B93" s="154" t="s">
        <v>262</v>
      </c>
      <c r="C93" s="148">
        <v>27120000</v>
      </c>
      <c r="D93" s="148">
        <v>9600000</v>
      </c>
      <c r="E93" s="148">
        <v>9600000</v>
      </c>
      <c r="F93" s="149">
        <v>7920000</v>
      </c>
      <c r="H93" s="209">
        <f t="shared" si="6"/>
        <v>27120</v>
      </c>
      <c r="I93" s="205">
        <f t="shared" si="6"/>
        <v>9600</v>
      </c>
      <c r="J93" s="205">
        <f t="shared" si="6"/>
        <v>9600</v>
      </c>
      <c r="K93" s="205">
        <f t="shared" si="6"/>
        <v>7920</v>
      </c>
      <c r="L93" s="203">
        <f t="shared" si="5"/>
        <v>0</v>
      </c>
      <c r="M93" s="203">
        <f t="shared" si="7"/>
        <v>0</v>
      </c>
      <c r="O93" s="208">
        <f t="shared" si="8"/>
        <v>2.5697000290802491E-2</v>
      </c>
    </row>
    <row r="94" spans="1:15" ht="12.75" customHeight="1">
      <c r="A94" s="150" t="s">
        <v>263</v>
      </c>
      <c r="B94" s="151" t="s">
        <v>264</v>
      </c>
      <c r="C94" s="158">
        <v>27120000</v>
      </c>
      <c r="D94" s="142">
        <v>9600000</v>
      </c>
      <c r="E94" s="142">
        <v>9600000</v>
      </c>
      <c r="F94" s="143">
        <v>7920000</v>
      </c>
      <c r="H94" s="209">
        <f t="shared" si="6"/>
        <v>27120</v>
      </c>
      <c r="I94" s="205">
        <f t="shared" si="6"/>
        <v>9600</v>
      </c>
      <c r="J94" s="205">
        <f t="shared" si="6"/>
        <v>9600</v>
      </c>
      <c r="K94" s="205">
        <f t="shared" si="6"/>
        <v>7920</v>
      </c>
      <c r="L94" s="203">
        <f t="shared" si="5"/>
        <v>0</v>
      </c>
      <c r="M94" s="203">
        <f t="shared" si="7"/>
        <v>0</v>
      </c>
      <c r="O94" s="208">
        <f t="shared" si="8"/>
        <v>2.5697000290802491E-2</v>
      </c>
    </row>
    <row r="95" spans="1:15" ht="12.75" hidden="1" customHeight="1">
      <c r="A95" s="159" t="s">
        <v>265</v>
      </c>
      <c r="B95" s="160" t="s">
        <v>266</v>
      </c>
      <c r="C95" s="158">
        <v>0</v>
      </c>
      <c r="D95" s="142">
        <v>0</v>
      </c>
      <c r="E95" s="142">
        <v>0</v>
      </c>
      <c r="F95" s="143">
        <v>0</v>
      </c>
      <c r="H95" s="209">
        <f t="shared" si="6"/>
        <v>0</v>
      </c>
      <c r="I95" s="205">
        <f t="shared" si="6"/>
        <v>0</v>
      </c>
      <c r="J95" s="205">
        <f t="shared" si="6"/>
        <v>0</v>
      </c>
      <c r="K95" s="205">
        <f t="shared" si="6"/>
        <v>0</v>
      </c>
      <c r="L95" s="203">
        <f t="shared" si="5"/>
        <v>0</v>
      </c>
      <c r="M95" s="203">
        <f t="shared" si="7"/>
        <v>0</v>
      </c>
      <c r="O95" s="208">
        <f t="shared" si="8"/>
        <v>0</v>
      </c>
    </row>
    <row r="96" spans="1:15" hidden="1">
      <c r="A96" s="159" t="s">
        <v>267</v>
      </c>
      <c r="B96" s="160" t="s">
        <v>268</v>
      </c>
      <c r="C96" s="158">
        <v>0</v>
      </c>
      <c r="D96" s="142">
        <v>0</v>
      </c>
      <c r="E96" s="142">
        <v>0</v>
      </c>
      <c r="F96" s="143">
        <v>0</v>
      </c>
      <c r="H96" s="205">
        <f t="shared" si="6"/>
        <v>0</v>
      </c>
      <c r="I96" s="205">
        <f t="shared" si="6"/>
        <v>0</v>
      </c>
      <c r="J96" s="205">
        <f t="shared" si="6"/>
        <v>0</v>
      </c>
      <c r="K96" s="205">
        <f t="shared" si="6"/>
        <v>0</v>
      </c>
      <c r="L96" s="203">
        <f t="shared" si="5"/>
        <v>0</v>
      </c>
      <c r="M96" s="203">
        <f t="shared" si="7"/>
        <v>0</v>
      </c>
      <c r="O96" s="208">
        <f t="shared" si="8"/>
        <v>0</v>
      </c>
    </row>
    <row r="97" spans="1:15" s="206" customFormat="1">
      <c r="A97" s="150"/>
      <c r="B97" s="151"/>
      <c r="C97" s="141"/>
      <c r="D97" s="142"/>
      <c r="E97" s="142"/>
      <c r="F97" s="143"/>
      <c r="H97" s="207">
        <f t="shared" si="6"/>
        <v>0</v>
      </c>
      <c r="I97" s="207">
        <f t="shared" si="6"/>
        <v>0</v>
      </c>
      <c r="J97" s="207">
        <f t="shared" si="6"/>
        <v>0</v>
      </c>
      <c r="K97" s="207">
        <f t="shared" si="6"/>
        <v>0</v>
      </c>
      <c r="L97" s="203">
        <f t="shared" si="5"/>
        <v>0</v>
      </c>
      <c r="M97" s="203">
        <f t="shared" si="7"/>
        <v>0</v>
      </c>
      <c r="O97" s="208">
        <f t="shared" si="8"/>
        <v>0</v>
      </c>
    </row>
    <row r="98" spans="1:15" ht="11.25" customHeight="1">
      <c r="A98" s="153" t="s">
        <v>269</v>
      </c>
      <c r="B98" s="154" t="s">
        <v>270</v>
      </c>
      <c r="C98" s="148">
        <v>17000000</v>
      </c>
      <c r="D98" s="148">
        <v>2000000</v>
      </c>
      <c r="E98" s="148">
        <v>15000000</v>
      </c>
      <c r="F98" s="149">
        <v>0</v>
      </c>
      <c r="H98" s="209">
        <f t="shared" si="6"/>
        <v>17000</v>
      </c>
      <c r="I98" s="205">
        <f t="shared" si="6"/>
        <v>2000</v>
      </c>
      <c r="J98" s="205">
        <f t="shared" si="6"/>
        <v>15000</v>
      </c>
      <c r="K98" s="205">
        <f t="shared" si="6"/>
        <v>0</v>
      </c>
      <c r="L98" s="203">
        <f t="shared" si="5"/>
        <v>0</v>
      </c>
      <c r="M98" s="203">
        <f t="shared" si="7"/>
        <v>0</v>
      </c>
      <c r="O98" s="208">
        <f t="shared" si="8"/>
        <v>1.610800165721395E-2</v>
      </c>
    </row>
    <row r="99" spans="1:15">
      <c r="A99" s="150" t="s">
        <v>271</v>
      </c>
      <c r="B99" s="151" t="s">
        <v>272</v>
      </c>
      <c r="C99" s="158">
        <v>15000000</v>
      </c>
      <c r="D99" s="142">
        <v>0</v>
      </c>
      <c r="E99" s="142">
        <v>15000000</v>
      </c>
      <c r="F99" s="143">
        <v>0</v>
      </c>
      <c r="H99" s="209">
        <f t="shared" si="6"/>
        <v>15000</v>
      </c>
      <c r="I99" s="205">
        <f t="shared" si="6"/>
        <v>0</v>
      </c>
      <c r="J99" s="205">
        <f t="shared" si="6"/>
        <v>15000</v>
      </c>
      <c r="K99" s="205">
        <f t="shared" si="6"/>
        <v>0</v>
      </c>
      <c r="L99" s="203">
        <f t="shared" si="5"/>
        <v>0</v>
      </c>
      <c r="M99" s="203">
        <f t="shared" si="7"/>
        <v>0</v>
      </c>
      <c r="O99" s="208">
        <f t="shared" si="8"/>
        <v>1.4212942638718192E-2</v>
      </c>
    </row>
    <row r="100" spans="1:15" ht="12.75" customHeight="1">
      <c r="A100" s="150" t="s">
        <v>273</v>
      </c>
      <c r="B100" s="151" t="s">
        <v>274</v>
      </c>
      <c r="C100" s="158">
        <v>2000000</v>
      </c>
      <c r="D100" s="142">
        <v>2000000</v>
      </c>
      <c r="E100" s="142">
        <v>0</v>
      </c>
      <c r="F100" s="143">
        <v>0</v>
      </c>
      <c r="H100" s="209">
        <f t="shared" si="6"/>
        <v>2000</v>
      </c>
      <c r="I100" s="205">
        <f t="shared" si="6"/>
        <v>2000</v>
      </c>
      <c r="J100" s="205">
        <f t="shared" si="6"/>
        <v>0</v>
      </c>
      <c r="K100" s="205">
        <f t="shared" si="6"/>
        <v>0</v>
      </c>
      <c r="L100" s="203">
        <f t="shared" si="5"/>
        <v>0</v>
      </c>
      <c r="M100" s="203">
        <f t="shared" si="7"/>
        <v>0</v>
      </c>
      <c r="O100" s="208">
        <f t="shared" si="8"/>
        <v>1.8950590184957589E-3</v>
      </c>
    </row>
    <row r="101" spans="1:15" hidden="1">
      <c r="A101" s="159" t="s">
        <v>275</v>
      </c>
      <c r="B101" s="160" t="s">
        <v>276</v>
      </c>
      <c r="C101" s="158">
        <v>0</v>
      </c>
      <c r="D101" s="142">
        <v>0</v>
      </c>
      <c r="E101" s="142"/>
      <c r="F101" s="143">
        <v>0</v>
      </c>
      <c r="H101" s="205">
        <f t="shared" si="6"/>
        <v>0</v>
      </c>
      <c r="I101" s="205">
        <f t="shared" si="6"/>
        <v>0</v>
      </c>
      <c r="J101" s="205">
        <f t="shared" si="6"/>
        <v>0</v>
      </c>
      <c r="K101" s="205">
        <f t="shared" si="6"/>
        <v>0</v>
      </c>
      <c r="L101" s="203">
        <f t="shared" si="5"/>
        <v>0</v>
      </c>
      <c r="M101" s="203">
        <f t="shared" si="7"/>
        <v>0</v>
      </c>
      <c r="O101" s="208">
        <f t="shared" si="8"/>
        <v>0</v>
      </c>
    </row>
    <row r="102" spans="1:15" s="206" customFormat="1">
      <c r="A102" s="150"/>
      <c r="B102" s="151"/>
      <c r="C102" s="141"/>
      <c r="D102" s="142"/>
      <c r="E102" s="142"/>
      <c r="F102" s="143"/>
      <c r="H102" s="207">
        <f t="shared" si="6"/>
        <v>0</v>
      </c>
      <c r="I102" s="207">
        <f t="shared" si="6"/>
        <v>0</v>
      </c>
      <c r="J102" s="207">
        <f t="shared" si="6"/>
        <v>0</v>
      </c>
      <c r="K102" s="207">
        <f t="shared" si="6"/>
        <v>0</v>
      </c>
      <c r="L102" s="203">
        <f t="shared" si="5"/>
        <v>0</v>
      </c>
      <c r="M102" s="203">
        <f t="shared" si="7"/>
        <v>0</v>
      </c>
      <c r="O102" s="208">
        <f t="shared" si="8"/>
        <v>0</v>
      </c>
    </row>
    <row r="103" spans="1:15">
      <c r="A103" s="153" t="s">
        <v>277</v>
      </c>
      <c r="B103" s="154" t="s">
        <v>278</v>
      </c>
      <c r="C103" s="148">
        <v>92698623.430000007</v>
      </c>
      <c r="D103" s="148">
        <v>23033520</v>
      </c>
      <c r="E103" s="148">
        <v>19300000</v>
      </c>
      <c r="F103" s="149">
        <v>50365103.43</v>
      </c>
      <c r="G103" s="200"/>
      <c r="H103" s="209">
        <f t="shared" si="6"/>
        <v>92698.623430000007</v>
      </c>
      <c r="I103" s="205">
        <f t="shared" si="6"/>
        <v>23033.52</v>
      </c>
      <c r="J103" s="205">
        <f t="shared" si="6"/>
        <v>19300</v>
      </c>
      <c r="K103" s="205">
        <f t="shared" si="6"/>
        <v>50365.103430000003</v>
      </c>
      <c r="L103" s="203">
        <f t="shared" si="5"/>
        <v>0</v>
      </c>
      <c r="M103" s="203">
        <f t="shared" si="7"/>
        <v>0</v>
      </c>
      <c r="O103" s="208">
        <f t="shared" si="8"/>
        <v>8.7834681166581885E-2</v>
      </c>
    </row>
    <row r="104" spans="1:15" ht="12.75" customHeight="1">
      <c r="A104" s="150" t="s">
        <v>279</v>
      </c>
      <c r="B104" s="151" t="s">
        <v>280</v>
      </c>
      <c r="C104" s="158">
        <v>59641603.43</v>
      </c>
      <c r="D104" s="142">
        <v>20430000</v>
      </c>
      <c r="E104" s="142">
        <v>19300000</v>
      </c>
      <c r="F104" s="143">
        <v>19911603.43</v>
      </c>
      <c r="H104" s="209">
        <f t="shared" si="6"/>
        <v>59641.603430000003</v>
      </c>
      <c r="I104" s="205">
        <f t="shared" si="6"/>
        <v>20430</v>
      </c>
      <c r="J104" s="205">
        <f t="shared" si="6"/>
        <v>19300</v>
      </c>
      <c r="K104" s="205">
        <f t="shared" si="6"/>
        <v>19911.603429999999</v>
      </c>
      <c r="L104" s="203">
        <f t="shared" si="5"/>
        <v>0</v>
      </c>
      <c r="M104" s="203">
        <f t="shared" si="7"/>
        <v>0</v>
      </c>
      <c r="O104" s="208">
        <f t="shared" si="8"/>
        <v>5.6512179228784543E-2</v>
      </c>
    </row>
    <row r="105" spans="1:15" hidden="1">
      <c r="A105" s="159" t="s">
        <v>281</v>
      </c>
      <c r="B105" s="160" t="s">
        <v>282</v>
      </c>
      <c r="C105" s="158">
        <v>0</v>
      </c>
      <c r="D105" s="142">
        <v>0</v>
      </c>
      <c r="E105" s="142">
        <v>0</v>
      </c>
      <c r="F105" s="143">
        <v>0</v>
      </c>
      <c r="H105" s="209">
        <f t="shared" si="6"/>
        <v>0</v>
      </c>
      <c r="I105" s="205">
        <f t="shared" si="6"/>
        <v>0</v>
      </c>
      <c r="J105" s="205">
        <f t="shared" si="6"/>
        <v>0</v>
      </c>
      <c r="K105" s="205">
        <f t="shared" si="6"/>
        <v>0</v>
      </c>
      <c r="L105" s="203">
        <f t="shared" si="5"/>
        <v>0</v>
      </c>
      <c r="M105" s="203">
        <f t="shared" si="7"/>
        <v>0</v>
      </c>
      <c r="O105" s="208">
        <f t="shared" si="8"/>
        <v>0</v>
      </c>
    </row>
    <row r="106" spans="1:15" ht="25.5" hidden="1" customHeight="1">
      <c r="A106" s="150" t="s">
        <v>283</v>
      </c>
      <c r="B106" s="151" t="s">
        <v>284</v>
      </c>
      <c r="C106" s="158">
        <v>0</v>
      </c>
      <c r="D106" s="142">
        <v>0</v>
      </c>
      <c r="E106" s="142">
        <v>0</v>
      </c>
      <c r="F106" s="143">
        <v>0</v>
      </c>
      <c r="H106" s="209">
        <f t="shared" si="6"/>
        <v>0</v>
      </c>
      <c r="I106" s="205">
        <f t="shared" si="6"/>
        <v>0</v>
      </c>
      <c r="J106" s="205">
        <f t="shared" si="6"/>
        <v>0</v>
      </c>
      <c r="K106" s="205">
        <f t="shared" si="6"/>
        <v>0</v>
      </c>
      <c r="L106" s="203">
        <f t="shared" si="5"/>
        <v>0</v>
      </c>
      <c r="M106" s="203">
        <f t="shared" si="7"/>
        <v>0</v>
      </c>
      <c r="O106" s="208">
        <f t="shared" si="8"/>
        <v>0</v>
      </c>
    </row>
    <row r="107" spans="1:15" ht="25.5">
      <c r="A107" s="150" t="s">
        <v>285</v>
      </c>
      <c r="B107" s="151" t="s">
        <v>286</v>
      </c>
      <c r="C107" s="158">
        <v>8192500</v>
      </c>
      <c r="D107" s="142">
        <v>565000</v>
      </c>
      <c r="E107" s="142">
        <v>0</v>
      </c>
      <c r="F107" s="143">
        <v>7627500</v>
      </c>
      <c r="H107" s="209">
        <f t="shared" si="6"/>
        <v>8192.5</v>
      </c>
      <c r="I107" s="205">
        <f t="shared" si="6"/>
        <v>565</v>
      </c>
      <c r="J107" s="205">
        <f t="shared" si="6"/>
        <v>0</v>
      </c>
      <c r="K107" s="205">
        <f t="shared" si="6"/>
        <v>7627.5</v>
      </c>
      <c r="L107" s="203">
        <f t="shared" si="5"/>
        <v>0</v>
      </c>
      <c r="M107" s="203">
        <f t="shared" si="7"/>
        <v>0</v>
      </c>
      <c r="O107" s="208">
        <f t="shared" si="8"/>
        <v>7.7626355045132527E-3</v>
      </c>
    </row>
    <row r="108" spans="1:15">
      <c r="A108" s="150" t="s">
        <v>287</v>
      </c>
      <c r="B108" s="151" t="s">
        <v>288</v>
      </c>
      <c r="C108" s="158">
        <v>282500</v>
      </c>
      <c r="D108" s="142">
        <v>0</v>
      </c>
      <c r="E108" s="142">
        <v>0</v>
      </c>
      <c r="F108" s="143">
        <v>282500</v>
      </c>
      <c r="H108" s="209">
        <f t="shared" si="6"/>
        <v>282.5</v>
      </c>
      <c r="I108" s="205">
        <f t="shared" si="6"/>
        <v>0</v>
      </c>
      <c r="J108" s="205">
        <f t="shared" si="6"/>
        <v>0</v>
      </c>
      <c r="K108" s="205">
        <f t="shared" si="6"/>
        <v>282.5</v>
      </c>
      <c r="L108" s="203">
        <f t="shared" si="5"/>
        <v>0</v>
      </c>
      <c r="M108" s="203">
        <f t="shared" si="7"/>
        <v>0</v>
      </c>
      <c r="O108" s="208">
        <f t="shared" si="8"/>
        <v>2.6767708636252593E-4</v>
      </c>
    </row>
    <row r="109" spans="1:15" ht="25.5">
      <c r="A109" s="150" t="s">
        <v>289</v>
      </c>
      <c r="B109" s="151" t="s">
        <v>290</v>
      </c>
      <c r="C109" s="158">
        <v>1921000</v>
      </c>
      <c r="D109" s="142">
        <v>226000</v>
      </c>
      <c r="E109" s="142">
        <v>0</v>
      </c>
      <c r="F109" s="143">
        <v>1695000</v>
      </c>
      <c r="H109" s="209">
        <f t="shared" si="6"/>
        <v>1921</v>
      </c>
      <c r="I109" s="205">
        <f t="shared" si="6"/>
        <v>226</v>
      </c>
      <c r="J109" s="205">
        <f t="shared" si="6"/>
        <v>0</v>
      </c>
      <c r="K109" s="205">
        <f t="shared" si="6"/>
        <v>1695</v>
      </c>
      <c r="L109" s="203">
        <f t="shared" si="5"/>
        <v>0</v>
      </c>
      <c r="M109" s="203">
        <f t="shared" si="7"/>
        <v>0</v>
      </c>
      <c r="O109" s="208">
        <f t="shared" si="8"/>
        <v>1.8202041872651764E-3</v>
      </c>
    </row>
    <row r="110" spans="1:15" ht="26.25" customHeight="1">
      <c r="A110" s="150" t="s">
        <v>291</v>
      </c>
      <c r="B110" s="151" t="s">
        <v>292</v>
      </c>
      <c r="C110" s="158">
        <v>11164400</v>
      </c>
      <c r="D110" s="142">
        <v>372900</v>
      </c>
      <c r="E110" s="142">
        <v>0</v>
      </c>
      <c r="F110" s="143">
        <v>10791500</v>
      </c>
      <c r="H110" s="209">
        <f t="shared" si="6"/>
        <v>11164.4</v>
      </c>
      <c r="I110" s="205">
        <f t="shared" si="6"/>
        <v>372.9</v>
      </c>
      <c r="J110" s="205">
        <f t="shared" si="6"/>
        <v>0</v>
      </c>
      <c r="K110" s="205">
        <f t="shared" si="6"/>
        <v>10791.5</v>
      </c>
      <c r="L110" s="203">
        <f t="shared" si="5"/>
        <v>0</v>
      </c>
      <c r="M110" s="203">
        <f t="shared" si="7"/>
        <v>0</v>
      </c>
      <c r="O110" s="208">
        <f t="shared" si="8"/>
        <v>1.0578598453047025E-2</v>
      </c>
    </row>
    <row r="111" spans="1:15" ht="25.5">
      <c r="A111" s="150" t="s">
        <v>293</v>
      </c>
      <c r="B111" s="151" t="s">
        <v>294</v>
      </c>
      <c r="C111" s="158">
        <v>10848000</v>
      </c>
      <c r="D111" s="142">
        <v>960500</v>
      </c>
      <c r="E111" s="142">
        <v>0</v>
      </c>
      <c r="F111" s="143">
        <v>9887500</v>
      </c>
      <c r="H111" s="209">
        <f t="shared" si="6"/>
        <v>10848</v>
      </c>
      <c r="I111" s="205">
        <f t="shared" si="6"/>
        <v>960.5</v>
      </c>
      <c r="J111" s="205">
        <f t="shared" si="6"/>
        <v>0</v>
      </c>
      <c r="K111" s="205">
        <f t="shared" si="6"/>
        <v>9887.5</v>
      </c>
      <c r="L111" s="203">
        <f t="shared" si="5"/>
        <v>0</v>
      </c>
      <c r="M111" s="203">
        <f t="shared" si="7"/>
        <v>0</v>
      </c>
      <c r="O111" s="208">
        <f t="shared" si="8"/>
        <v>1.0278800116320997E-2</v>
      </c>
    </row>
    <row r="112" spans="1:15">
      <c r="A112" s="150" t="s">
        <v>295</v>
      </c>
      <c r="B112" s="151" t="s">
        <v>296</v>
      </c>
      <c r="C112" s="158">
        <v>648620</v>
      </c>
      <c r="D112" s="142">
        <v>479120</v>
      </c>
      <c r="E112" s="142">
        <v>0</v>
      </c>
      <c r="F112" s="143">
        <v>169500</v>
      </c>
      <c r="H112" s="205">
        <f t="shared" si="6"/>
        <v>648.62</v>
      </c>
      <c r="I112" s="205">
        <f t="shared" si="6"/>
        <v>479.12</v>
      </c>
      <c r="J112" s="205">
        <f t="shared" si="6"/>
        <v>0</v>
      </c>
      <c r="K112" s="205">
        <f t="shared" si="6"/>
        <v>169.5</v>
      </c>
      <c r="L112" s="203">
        <f t="shared" si="5"/>
        <v>0</v>
      </c>
      <c r="M112" s="203">
        <f t="shared" si="7"/>
        <v>0</v>
      </c>
      <c r="O112" s="208">
        <f t="shared" si="8"/>
        <v>6.1458659028835962E-4</v>
      </c>
    </row>
    <row r="113" spans="1:15" s="206" customFormat="1">
      <c r="A113" s="150"/>
      <c r="B113" s="151"/>
      <c r="C113" s="141"/>
      <c r="D113" s="142"/>
      <c r="E113" s="142"/>
      <c r="F113" s="143"/>
      <c r="H113" s="207">
        <f t="shared" si="6"/>
        <v>0</v>
      </c>
      <c r="I113" s="207">
        <f t="shared" si="6"/>
        <v>0</v>
      </c>
      <c r="J113" s="207">
        <f t="shared" si="6"/>
        <v>0</v>
      </c>
      <c r="K113" s="207">
        <f t="shared" si="6"/>
        <v>0</v>
      </c>
      <c r="L113" s="203">
        <f t="shared" si="5"/>
        <v>0</v>
      </c>
      <c r="M113" s="203">
        <f t="shared" si="7"/>
        <v>0</v>
      </c>
      <c r="O113" s="208">
        <f t="shared" si="8"/>
        <v>0</v>
      </c>
    </row>
    <row r="114" spans="1:15" ht="12.75" customHeight="1">
      <c r="A114" s="153" t="s">
        <v>297</v>
      </c>
      <c r="B114" s="154" t="s">
        <v>298</v>
      </c>
      <c r="C114" s="148">
        <v>50000</v>
      </c>
      <c r="D114" s="148">
        <v>0</v>
      </c>
      <c r="E114" s="148">
        <v>0</v>
      </c>
      <c r="F114" s="149">
        <v>50000</v>
      </c>
      <c r="H114" s="209">
        <f t="shared" si="6"/>
        <v>50</v>
      </c>
      <c r="I114" s="205">
        <f t="shared" si="6"/>
        <v>0</v>
      </c>
      <c r="J114" s="205">
        <f t="shared" si="6"/>
        <v>0</v>
      </c>
      <c r="K114" s="205">
        <f t="shared" si="6"/>
        <v>50</v>
      </c>
      <c r="L114" s="203">
        <f t="shared" si="5"/>
        <v>0</v>
      </c>
      <c r="M114" s="203">
        <f t="shared" si="7"/>
        <v>0</v>
      </c>
      <c r="O114" s="208">
        <f t="shared" si="8"/>
        <v>4.7376475462393972E-5</v>
      </c>
    </row>
    <row r="115" spans="1:15" ht="12.75" hidden="1" customHeight="1">
      <c r="A115" s="159" t="s">
        <v>299</v>
      </c>
      <c r="B115" s="160" t="s">
        <v>300</v>
      </c>
      <c r="C115" s="158">
        <v>0</v>
      </c>
      <c r="D115" s="142">
        <v>0</v>
      </c>
      <c r="E115" s="142">
        <v>0</v>
      </c>
      <c r="F115" s="143">
        <v>0</v>
      </c>
      <c r="H115" s="209">
        <f t="shared" si="6"/>
        <v>0</v>
      </c>
      <c r="I115" s="205">
        <f t="shared" si="6"/>
        <v>0</v>
      </c>
      <c r="J115" s="205">
        <f t="shared" si="6"/>
        <v>0</v>
      </c>
      <c r="K115" s="205">
        <f t="shared" si="6"/>
        <v>0</v>
      </c>
      <c r="L115" s="203">
        <f t="shared" si="5"/>
        <v>0</v>
      </c>
      <c r="M115" s="203">
        <f t="shared" si="7"/>
        <v>0</v>
      </c>
      <c r="O115" s="208">
        <f t="shared" si="8"/>
        <v>0</v>
      </c>
    </row>
    <row r="116" spans="1:15" ht="12.75" hidden="1" customHeight="1">
      <c r="A116" s="159" t="s">
        <v>301</v>
      </c>
      <c r="B116" s="160" t="s">
        <v>302</v>
      </c>
      <c r="C116" s="158">
        <v>0</v>
      </c>
      <c r="D116" s="142">
        <v>0</v>
      </c>
      <c r="E116" s="142">
        <v>0</v>
      </c>
      <c r="F116" s="143">
        <v>0</v>
      </c>
      <c r="H116" s="209">
        <f t="shared" si="6"/>
        <v>0</v>
      </c>
      <c r="I116" s="205">
        <f t="shared" si="6"/>
        <v>0</v>
      </c>
      <c r="J116" s="205">
        <f t="shared" si="6"/>
        <v>0</v>
      </c>
      <c r="K116" s="205">
        <f t="shared" si="6"/>
        <v>0</v>
      </c>
      <c r="L116" s="203">
        <f t="shared" si="5"/>
        <v>0</v>
      </c>
      <c r="M116" s="203">
        <f t="shared" si="7"/>
        <v>0</v>
      </c>
      <c r="O116" s="208">
        <f t="shared" si="8"/>
        <v>0</v>
      </c>
    </row>
    <row r="117" spans="1:15" hidden="1">
      <c r="A117" s="159" t="s">
        <v>303</v>
      </c>
      <c r="B117" s="160" t="s">
        <v>304</v>
      </c>
      <c r="C117" s="158">
        <v>0</v>
      </c>
      <c r="D117" s="142">
        <v>0</v>
      </c>
      <c r="E117" s="142">
        <v>0</v>
      </c>
      <c r="F117" s="143">
        <v>0</v>
      </c>
      <c r="H117" s="209">
        <f t="shared" si="6"/>
        <v>0</v>
      </c>
      <c r="I117" s="205">
        <f t="shared" si="6"/>
        <v>0</v>
      </c>
      <c r="J117" s="205">
        <f t="shared" si="6"/>
        <v>0</v>
      </c>
      <c r="K117" s="205">
        <f t="shared" si="6"/>
        <v>0</v>
      </c>
      <c r="L117" s="203">
        <f t="shared" si="5"/>
        <v>0</v>
      </c>
      <c r="M117" s="203">
        <f t="shared" si="7"/>
        <v>0</v>
      </c>
      <c r="O117" s="208">
        <f t="shared" si="8"/>
        <v>0</v>
      </c>
    </row>
    <row r="118" spans="1:15" ht="12.75" customHeight="1">
      <c r="A118" s="150" t="s">
        <v>305</v>
      </c>
      <c r="B118" s="151" t="s">
        <v>306</v>
      </c>
      <c r="C118" s="158">
        <v>50000</v>
      </c>
      <c r="D118" s="142">
        <v>0</v>
      </c>
      <c r="E118" s="142">
        <v>0</v>
      </c>
      <c r="F118" s="143">
        <v>50000</v>
      </c>
      <c r="H118" s="205">
        <f t="shared" si="6"/>
        <v>50</v>
      </c>
      <c r="I118" s="205">
        <f t="shared" si="6"/>
        <v>0</v>
      </c>
      <c r="J118" s="205">
        <f t="shared" si="6"/>
        <v>0</v>
      </c>
      <c r="K118" s="205">
        <f t="shared" si="6"/>
        <v>50</v>
      </c>
      <c r="L118" s="203">
        <f t="shared" si="5"/>
        <v>0</v>
      </c>
      <c r="M118" s="203">
        <f t="shared" si="7"/>
        <v>0</v>
      </c>
      <c r="O118" s="208">
        <f t="shared" si="8"/>
        <v>4.7376475462393972E-5</v>
      </c>
    </row>
    <row r="119" spans="1:15" s="206" customFormat="1" ht="12.75" customHeight="1">
      <c r="A119" s="150"/>
      <c r="B119" s="151"/>
      <c r="C119" s="141"/>
      <c r="D119" s="142"/>
      <c r="E119" s="142"/>
      <c r="F119" s="143"/>
      <c r="H119" s="207">
        <f t="shared" si="6"/>
        <v>0</v>
      </c>
      <c r="I119" s="207">
        <f t="shared" si="6"/>
        <v>0</v>
      </c>
      <c r="J119" s="207">
        <f t="shared" si="6"/>
        <v>0</v>
      </c>
      <c r="K119" s="207">
        <f t="shared" si="6"/>
        <v>0</v>
      </c>
      <c r="L119" s="203">
        <f t="shared" si="5"/>
        <v>0</v>
      </c>
      <c r="M119" s="203">
        <f t="shared" si="7"/>
        <v>0</v>
      </c>
      <c r="O119" s="208">
        <f>C119/$C$9</f>
        <v>0</v>
      </c>
    </row>
    <row r="120" spans="1:15" ht="12.75" hidden="1" customHeight="1">
      <c r="A120" s="153" t="s">
        <v>307</v>
      </c>
      <c r="B120" s="154" t="s">
        <v>308</v>
      </c>
      <c r="C120" s="158">
        <v>0</v>
      </c>
      <c r="D120" s="158">
        <v>0</v>
      </c>
      <c r="E120" s="158">
        <v>0</v>
      </c>
      <c r="F120" s="164">
        <v>0</v>
      </c>
      <c r="H120" s="209">
        <f t="shared" si="6"/>
        <v>0</v>
      </c>
      <c r="I120" s="205">
        <f t="shared" si="6"/>
        <v>0</v>
      </c>
      <c r="J120" s="205">
        <f t="shared" si="6"/>
        <v>0</v>
      </c>
      <c r="K120" s="205">
        <f t="shared" si="6"/>
        <v>0</v>
      </c>
      <c r="L120" s="203">
        <f t="shared" si="5"/>
        <v>0</v>
      </c>
      <c r="M120" s="203">
        <f t="shared" si="7"/>
        <v>0</v>
      </c>
      <c r="O120" s="208">
        <f t="shared" si="8"/>
        <v>0</v>
      </c>
    </row>
    <row r="121" spans="1:15" ht="12.75" hidden="1" customHeight="1">
      <c r="A121" s="159" t="s">
        <v>309</v>
      </c>
      <c r="B121" s="160" t="s">
        <v>310</v>
      </c>
      <c r="C121" s="158">
        <v>0</v>
      </c>
      <c r="D121" s="142">
        <v>0</v>
      </c>
      <c r="E121" s="142">
        <v>0</v>
      </c>
      <c r="F121" s="143">
        <v>0</v>
      </c>
      <c r="H121" s="209">
        <f t="shared" si="6"/>
        <v>0</v>
      </c>
      <c r="I121" s="205">
        <f t="shared" si="6"/>
        <v>0</v>
      </c>
      <c r="J121" s="205">
        <f t="shared" si="6"/>
        <v>0</v>
      </c>
      <c r="K121" s="205">
        <f t="shared" si="6"/>
        <v>0</v>
      </c>
      <c r="L121" s="203">
        <f t="shared" si="5"/>
        <v>0</v>
      </c>
      <c r="M121" s="203">
        <f t="shared" si="7"/>
        <v>0</v>
      </c>
      <c r="O121" s="208">
        <f t="shared" si="8"/>
        <v>0</v>
      </c>
    </row>
    <row r="122" spans="1:15" ht="12.75" hidden="1" customHeight="1">
      <c r="A122" s="159" t="s">
        <v>311</v>
      </c>
      <c r="B122" s="160" t="s">
        <v>312</v>
      </c>
      <c r="C122" s="158">
        <v>0</v>
      </c>
      <c r="D122" s="142">
        <v>0</v>
      </c>
      <c r="E122" s="142">
        <v>0</v>
      </c>
      <c r="F122" s="143">
        <v>0</v>
      </c>
      <c r="H122" s="209">
        <f t="shared" si="6"/>
        <v>0</v>
      </c>
      <c r="I122" s="205">
        <f t="shared" si="6"/>
        <v>0</v>
      </c>
      <c r="J122" s="205">
        <f t="shared" si="6"/>
        <v>0</v>
      </c>
      <c r="K122" s="205">
        <f t="shared" si="6"/>
        <v>0</v>
      </c>
      <c r="L122" s="203">
        <f t="shared" si="5"/>
        <v>0</v>
      </c>
      <c r="M122" s="203">
        <f t="shared" si="7"/>
        <v>0</v>
      </c>
      <c r="O122" s="208">
        <f t="shared" si="8"/>
        <v>0</v>
      </c>
    </row>
    <row r="123" spans="1:15" ht="12.75" hidden="1" customHeight="1">
      <c r="A123" s="159" t="s">
        <v>313</v>
      </c>
      <c r="B123" s="160" t="s">
        <v>314</v>
      </c>
      <c r="C123" s="158">
        <v>0</v>
      </c>
      <c r="D123" s="142">
        <v>0</v>
      </c>
      <c r="E123" s="142">
        <v>0</v>
      </c>
      <c r="F123" s="143">
        <v>0</v>
      </c>
      <c r="H123" s="209">
        <f t="shared" si="6"/>
        <v>0</v>
      </c>
      <c r="I123" s="205">
        <f t="shared" si="6"/>
        <v>0</v>
      </c>
      <c r="J123" s="205">
        <f t="shared" si="6"/>
        <v>0</v>
      </c>
      <c r="K123" s="205">
        <f t="shared" si="6"/>
        <v>0</v>
      </c>
      <c r="L123" s="203">
        <f t="shared" si="5"/>
        <v>0</v>
      </c>
      <c r="M123" s="203">
        <f t="shared" si="7"/>
        <v>0</v>
      </c>
      <c r="O123" s="208">
        <f t="shared" si="8"/>
        <v>0</v>
      </c>
    </row>
    <row r="124" spans="1:15" ht="12.75" hidden="1" customHeight="1">
      <c r="A124" s="159" t="s">
        <v>315</v>
      </c>
      <c r="B124" s="160" t="s">
        <v>316</v>
      </c>
      <c r="C124" s="158">
        <v>0</v>
      </c>
      <c r="D124" s="142">
        <v>0</v>
      </c>
      <c r="E124" s="142">
        <v>0</v>
      </c>
      <c r="F124" s="143">
        <v>0</v>
      </c>
      <c r="H124" s="209">
        <f t="shared" si="6"/>
        <v>0</v>
      </c>
      <c r="I124" s="205">
        <f t="shared" si="6"/>
        <v>0</v>
      </c>
      <c r="J124" s="205">
        <f t="shared" si="6"/>
        <v>0</v>
      </c>
      <c r="K124" s="205">
        <f t="shared" si="6"/>
        <v>0</v>
      </c>
      <c r="L124" s="203">
        <f t="shared" si="5"/>
        <v>0</v>
      </c>
      <c r="M124" s="203">
        <f t="shared" si="7"/>
        <v>0</v>
      </c>
      <c r="O124" s="208">
        <f t="shared" si="8"/>
        <v>0</v>
      </c>
    </row>
    <row r="125" spans="1:15" ht="12.75" hidden="1" customHeight="1">
      <c r="A125" s="159" t="s">
        <v>317</v>
      </c>
      <c r="B125" s="160" t="s">
        <v>318</v>
      </c>
      <c r="C125" s="158">
        <v>0</v>
      </c>
      <c r="D125" s="142">
        <v>0</v>
      </c>
      <c r="E125" s="142">
        <v>0</v>
      </c>
      <c r="F125" s="143">
        <v>0</v>
      </c>
      <c r="H125" s="209">
        <f t="shared" si="6"/>
        <v>0</v>
      </c>
      <c r="I125" s="205">
        <f t="shared" si="6"/>
        <v>0</v>
      </c>
      <c r="J125" s="205">
        <f t="shared" si="6"/>
        <v>0</v>
      </c>
      <c r="K125" s="205">
        <f t="shared" si="6"/>
        <v>0</v>
      </c>
      <c r="L125" s="203">
        <f t="shared" si="5"/>
        <v>0</v>
      </c>
      <c r="M125" s="203">
        <f t="shared" si="7"/>
        <v>0</v>
      </c>
      <c r="O125" s="208">
        <f t="shared" si="8"/>
        <v>0</v>
      </c>
    </row>
    <row r="126" spans="1:15" hidden="1">
      <c r="A126" s="150" t="s">
        <v>319</v>
      </c>
      <c r="B126" s="151" t="s">
        <v>320</v>
      </c>
      <c r="C126" s="158">
        <v>0</v>
      </c>
      <c r="D126" s="142">
        <v>0</v>
      </c>
      <c r="E126" s="142">
        <v>0</v>
      </c>
      <c r="F126" s="143">
        <v>0</v>
      </c>
      <c r="H126" s="205">
        <f t="shared" si="6"/>
        <v>0</v>
      </c>
      <c r="I126" s="205">
        <f t="shared" si="6"/>
        <v>0</v>
      </c>
      <c r="J126" s="205">
        <f t="shared" si="6"/>
        <v>0</v>
      </c>
      <c r="K126" s="205">
        <f t="shared" si="6"/>
        <v>0</v>
      </c>
      <c r="L126" s="203">
        <f t="shared" si="5"/>
        <v>0</v>
      </c>
      <c r="M126" s="203">
        <f t="shared" si="7"/>
        <v>0</v>
      </c>
      <c r="O126" s="208">
        <f t="shared" si="8"/>
        <v>0</v>
      </c>
    </row>
    <row r="127" spans="1:15" s="206" customFormat="1" hidden="1">
      <c r="A127" s="150"/>
      <c r="B127" s="151"/>
      <c r="C127" s="141"/>
      <c r="D127" s="142"/>
      <c r="E127" s="142"/>
      <c r="F127" s="143"/>
      <c r="H127" s="207">
        <f t="shared" si="6"/>
        <v>0</v>
      </c>
      <c r="I127" s="207">
        <f t="shared" si="6"/>
        <v>0</v>
      </c>
      <c r="J127" s="207">
        <f t="shared" si="6"/>
        <v>0</v>
      </c>
      <c r="K127" s="207">
        <f t="shared" si="6"/>
        <v>0</v>
      </c>
      <c r="L127" s="203">
        <f t="shared" si="5"/>
        <v>0</v>
      </c>
      <c r="M127" s="203">
        <f t="shared" si="7"/>
        <v>0</v>
      </c>
      <c r="O127" s="208">
        <f t="shared" si="8"/>
        <v>0</v>
      </c>
    </row>
    <row r="128" spans="1:15" ht="12" customHeight="1">
      <c r="A128" s="153">
        <v>2</v>
      </c>
      <c r="B128" s="154" t="s">
        <v>321</v>
      </c>
      <c r="C128" s="148">
        <v>11972000</v>
      </c>
      <c r="D128" s="148">
        <v>6492000</v>
      </c>
      <c r="E128" s="148">
        <v>0</v>
      </c>
      <c r="F128" s="149">
        <v>5480000</v>
      </c>
      <c r="H128" s="205">
        <f t="shared" si="6"/>
        <v>11972</v>
      </c>
      <c r="I128" s="205">
        <f t="shared" si="6"/>
        <v>6492</v>
      </c>
      <c r="J128" s="205">
        <f t="shared" si="6"/>
        <v>0</v>
      </c>
      <c r="K128" s="205">
        <f t="shared" si="6"/>
        <v>5480</v>
      </c>
      <c r="L128" s="203">
        <f t="shared" si="5"/>
        <v>0</v>
      </c>
      <c r="M128" s="203">
        <f t="shared" si="7"/>
        <v>0</v>
      </c>
      <c r="O128" s="212">
        <f t="shared" si="8"/>
        <v>1.1343823284715613E-2</v>
      </c>
    </row>
    <row r="129" spans="1:15" s="206" customFormat="1">
      <c r="A129" s="150"/>
      <c r="B129" s="151"/>
      <c r="C129" s="141"/>
      <c r="D129" s="142"/>
      <c r="E129" s="142"/>
      <c r="F129" s="143"/>
      <c r="H129" s="207">
        <f t="shared" si="6"/>
        <v>0</v>
      </c>
      <c r="I129" s="207">
        <f t="shared" si="6"/>
        <v>0</v>
      </c>
      <c r="J129" s="207">
        <f t="shared" si="6"/>
        <v>0</v>
      </c>
      <c r="K129" s="207">
        <f t="shared" si="6"/>
        <v>0</v>
      </c>
      <c r="L129" s="203">
        <f t="shared" si="5"/>
        <v>0</v>
      </c>
      <c r="M129" s="203">
        <f t="shared" si="7"/>
        <v>0</v>
      </c>
      <c r="O129" s="208">
        <f t="shared" si="8"/>
        <v>0</v>
      </c>
    </row>
    <row r="130" spans="1:15">
      <c r="A130" s="153" t="s">
        <v>322</v>
      </c>
      <c r="B130" s="154" t="s">
        <v>323</v>
      </c>
      <c r="C130" s="148">
        <v>1468000</v>
      </c>
      <c r="D130" s="148">
        <v>1168000</v>
      </c>
      <c r="E130" s="148">
        <v>0</v>
      </c>
      <c r="F130" s="149">
        <v>300000</v>
      </c>
      <c r="G130" s="200"/>
      <c r="H130" s="209">
        <f t="shared" si="6"/>
        <v>1468</v>
      </c>
      <c r="I130" s="205">
        <f t="shared" si="6"/>
        <v>1168</v>
      </c>
      <c r="J130" s="205">
        <f t="shared" si="6"/>
        <v>0</v>
      </c>
      <c r="K130" s="205">
        <f t="shared" si="6"/>
        <v>300</v>
      </c>
      <c r="L130" s="203">
        <f t="shared" si="5"/>
        <v>0</v>
      </c>
      <c r="M130" s="203">
        <f t="shared" si="7"/>
        <v>0</v>
      </c>
      <c r="O130" s="208">
        <f t="shared" si="8"/>
        <v>1.390973319575887E-3</v>
      </c>
    </row>
    <row r="131" spans="1:15" ht="12.75" hidden="1" customHeight="1">
      <c r="A131" s="150" t="s">
        <v>324</v>
      </c>
      <c r="B131" s="151" t="s">
        <v>325</v>
      </c>
      <c r="C131" s="158">
        <v>0</v>
      </c>
      <c r="D131" s="142">
        <v>0</v>
      </c>
      <c r="E131" s="142">
        <v>0</v>
      </c>
      <c r="F131" s="143">
        <v>0</v>
      </c>
      <c r="H131" s="209">
        <f t="shared" si="6"/>
        <v>0</v>
      </c>
      <c r="I131" s="205">
        <f t="shared" si="6"/>
        <v>0</v>
      </c>
      <c r="J131" s="205">
        <f t="shared" si="6"/>
        <v>0</v>
      </c>
      <c r="K131" s="205">
        <f t="shared" si="6"/>
        <v>0</v>
      </c>
      <c r="L131" s="203">
        <f t="shared" si="5"/>
        <v>0</v>
      </c>
      <c r="M131" s="203">
        <f t="shared" si="7"/>
        <v>0</v>
      </c>
      <c r="O131" s="208">
        <f t="shared" si="8"/>
        <v>0</v>
      </c>
    </row>
    <row r="132" spans="1:15" ht="12.75" hidden="1" customHeight="1">
      <c r="A132" s="150" t="s">
        <v>326</v>
      </c>
      <c r="B132" s="151" t="s">
        <v>327</v>
      </c>
      <c r="C132" s="158">
        <v>0</v>
      </c>
      <c r="D132" s="142">
        <v>0</v>
      </c>
      <c r="E132" s="142">
        <v>0</v>
      </c>
      <c r="F132" s="143">
        <v>0</v>
      </c>
      <c r="H132" s="209">
        <f t="shared" si="6"/>
        <v>0</v>
      </c>
      <c r="I132" s="205">
        <f t="shared" si="6"/>
        <v>0</v>
      </c>
      <c r="J132" s="205">
        <f t="shared" si="6"/>
        <v>0</v>
      </c>
      <c r="K132" s="205">
        <f t="shared" si="6"/>
        <v>0</v>
      </c>
      <c r="L132" s="203">
        <f t="shared" si="5"/>
        <v>0</v>
      </c>
      <c r="M132" s="203">
        <f t="shared" si="7"/>
        <v>0</v>
      </c>
      <c r="O132" s="208">
        <f t="shared" si="8"/>
        <v>0</v>
      </c>
    </row>
    <row r="133" spans="1:15" hidden="1">
      <c r="A133" s="159" t="s">
        <v>328</v>
      </c>
      <c r="B133" s="160" t="s">
        <v>329</v>
      </c>
      <c r="C133" s="158">
        <v>0</v>
      </c>
      <c r="D133" s="142">
        <v>0</v>
      </c>
      <c r="E133" s="142">
        <v>0</v>
      </c>
      <c r="F133" s="143">
        <v>0</v>
      </c>
      <c r="H133" s="209">
        <f t="shared" si="6"/>
        <v>0</v>
      </c>
      <c r="I133" s="205">
        <f t="shared" si="6"/>
        <v>0</v>
      </c>
      <c r="J133" s="205">
        <f t="shared" si="6"/>
        <v>0</v>
      </c>
      <c r="K133" s="205">
        <f t="shared" si="6"/>
        <v>0</v>
      </c>
      <c r="L133" s="203">
        <f t="shared" si="5"/>
        <v>0</v>
      </c>
      <c r="M133" s="203">
        <f t="shared" si="7"/>
        <v>0</v>
      </c>
      <c r="O133" s="208">
        <f t="shared" si="8"/>
        <v>0</v>
      </c>
    </row>
    <row r="134" spans="1:15" ht="12.75" customHeight="1">
      <c r="A134" s="150" t="s">
        <v>330</v>
      </c>
      <c r="B134" s="151" t="s">
        <v>331</v>
      </c>
      <c r="C134" s="158">
        <v>1468000</v>
      </c>
      <c r="D134" s="142">
        <v>1168000</v>
      </c>
      <c r="E134" s="142">
        <v>0</v>
      </c>
      <c r="F134" s="143">
        <v>300000</v>
      </c>
      <c r="H134" s="209">
        <f t="shared" si="6"/>
        <v>1468</v>
      </c>
      <c r="I134" s="205">
        <f t="shared" si="6"/>
        <v>1168</v>
      </c>
      <c r="J134" s="205">
        <f t="shared" si="6"/>
        <v>0</v>
      </c>
      <c r="K134" s="205">
        <f t="shared" si="6"/>
        <v>300</v>
      </c>
      <c r="L134" s="203">
        <f t="shared" si="5"/>
        <v>0</v>
      </c>
      <c r="M134" s="203">
        <f t="shared" si="7"/>
        <v>0</v>
      </c>
      <c r="O134" s="208">
        <f t="shared" si="8"/>
        <v>1.390973319575887E-3</v>
      </c>
    </row>
    <row r="135" spans="1:15" hidden="1">
      <c r="A135" s="150" t="s">
        <v>332</v>
      </c>
      <c r="B135" s="151" t="s">
        <v>333</v>
      </c>
      <c r="C135" s="158">
        <v>0</v>
      </c>
      <c r="D135" s="142">
        <v>0</v>
      </c>
      <c r="E135" s="142">
        <v>0</v>
      </c>
      <c r="F135" s="143">
        <v>0</v>
      </c>
      <c r="H135" s="205">
        <f t="shared" si="6"/>
        <v>0</v>
      </c>
      <c r="I135" s="205">
        <f t="shared" si="6"/>
        <v>0</v>
      </c>
      <c r="J135" s="205">
        <f t="shared" si="6"/>
        <v>0</v>
      </c>
      <c r="K135" s="205">
        <f t="shared" si="6"/>
        <v>0</v>
      </c>
      <c r="L135" s="203">
        <f t="shared" si="5"/>
        <v>0</v>
      </c>
      <c r="M135" s="203">
        <f t="shared" si="7"/>
        <v>0</v>
      </c>
      <c r="O135" s="208">
        <f t="shared" si="8"/>
        <v>0</v>
      </c>
    </row>
    <row r="136" spans="1:15" s="206" customFormat="1" hidden="1">
      <c r="A136" s="150"/>
      <c r="B136" s="151"/>
      <c r="C136" s="141"/>
      <c r="D136" s="142"/>
      <c r="E136" s="142"/>
      <c r="F136" s="143"/>
      <c r="H136" s="207">
        <f t="shared" si="6"/>
        <v>0</v>
      </c>
      <c r="I136" s="207">
        <f t="shared" si="6"/>
        <v>0</v>
      </c>
      <c r="J136" s="207">
        <f t="shared" si="6"/>
        <v>0</v>
      </c>
      <c r="K136" s="207">
        <f t="shared" si="6"/>
        <v>0</v>
      </c>
      <c r="L136" s="203">
        <f t="shared" si="5"/>
        <v>0</v>
      </c>
      <c r="M136" s="203">
        <f t="shared" si="7"/>
        <v>0</v>
      </c>
      <c r="O136" s="208">
        <f t="shared" si="8"/>
        <v>0</v>
      </c>
    </row>
    <row r="137" spans="1:15" ht="12.75" hidden="1" customHeight="1">
      <c r="A137" s="153" t="s">
        <v>334</v>
      </c>
      <c r="B137" s="154" t="s">
        <v>335</v>
      </c>
      <c r="C137" s="148">
        <v>0</v>
      </c>
      <c r="D137" s="148">
        <v>0</v>
      </c>
      <c r="E137" s="148">
        <v>0</v>
      </c>
      <c r="F137" s="149">
        <v>0</v>
      </c>
      <c r="H137" s="209">
        <f t="shared" si="6"/>
        <v>0</v>
      </c>
      <c r="I137" s="205">
        <f t="shared" si="6"/>
        <v>0</v>
      </c>
      <c r="J137" s="205">
        <f t="shared" si="6"/>
        <v>0</v>
      </c>
      <c r="K137" s="205">
        <f t="shared" ref="K137:K200" si="9">+F137/1000</f>
        <v>0</v>
      </c>
      <c r="L137" s="203">
        <f t="shared" ref="L137:L200" si="10">SUM(I137:K137)-H137</f>
        <v>0</v>
      </c>
      <c r="M137" s="203">
        <f t="shared" si="7"/>
        <v>0</v>
      </c>
      <c r="O137" s="208">
        <f t="shared" si="8"/>
        <v>0</v>
      </c>
    </row>
    <row r="138" spans="1:15" ht="12.75" hidden="1" customHeight="1">
      <c r="A138" s="159" t="s">
        <v>336</v>
      </c>
      <c r="B138" s="160" t="s">
        <v>337</v>
      </c>
      <c r="C138" s="158">
        <v>0</v>
      </c>
      <c r="D138" s="142">
        <v>0</v>
      </c>
      <c r="E138" s="142">
        <v>0</v>
      </c>
      <c r="F138" s="143">
        <v>0</v>
      </c>
      <c r="H138" s="209">
        <f t="shared" ref="H138:K201" si="11">+C138/1000</f>
        <v>0</v>
      </c>
      <c r="I138" s="205">
        <f t="shared" si="11"/>
        <v>0</v>
      </c>
      <c r="J138" s="205">
        <f t="shared" si="11"/>
        <v>0</v>
      </c>
      <c r="K138" s="205">
        <f t="shared" si="9"/>
        <v>0</v>
      </c>
      <c r="L138" s="203">
        <f t="shared" si="10"/>
        <v>0</v>
      </c>
      <c r="M138" s="203">
        <f t="shared" si="7"/>
        <v>0</v>
      </c>
      <c r="O138" s="208">
        <f t="shared" si="8"/>
        <v>0</v>
      </c>
    </row>
    <row r="139" spans="1:15" hidden="1">
      <c r="A139" s="150" t="s">
        <v>338</v>
      </c>
      <c r="B139" s="151" t="s">
        <v>339</v>
      </c>
      <c r="C139" s="158">
        <v>0</v>
      </c>
      <c r="D139" s="142">
        <v>0</v>
      </c>
      <c r="E139" s="142">
        <v>0</v>
      </c>
      <c r="F139" s="143">
        <v>0</v>
      </c>
      <c r="H139" s="209">
        <f t="shared" si="11"/>
        <v>0</v>
      </c>
      <c r="I139" s="205">
        <f t="shared" si="11"/>
        <v>0</v>
      </c>
      <c r="J139" s="205">
        <f t="shared" si="11"/>
        <v>0</v>
      </c>
      <c r="K139" s="205">
        <f t="shared" si="9"/>
        <v>0</v>
      </c>
      <c r="L139" s="203">
        <f t="shared" si="10"/>
        <v>0</v>
      </c>
      <c r="M139" s="203">
        <f t="shared" ref="M139:M202" si="12">+H140-C140/1000</f>
        <v>0</v>
      </c>
      <c r="O139" s="208">
        <f t="shared" si="8"/>
        <v>0</v>
      </c>
    </row>
    <row r="140" spans="1:15" ht="12.75" hidden="1" customHeight="1">
      <c r="A140" s="150" t="s">
        <v>340</v>
      </c>
      <c r="B140" s="151" t="s">
        <v>341</v>
      </c>
      <c r="C140" s="158">
        <v>0</v>
      </c>
      <c r="D140" s="142">
        <v>0</v>
      </c>
      <c r="E140" s="142">
        <v>0</v>
      </c>
      <c r="F140" s="143">
        <v>0</v>
      </c>
      <c r="H140" s="209">
        <f t="shared" si="11"/>
        <v>0</v>
      </c>
      <c r="I140" s="205">
        <f t="shared" si="11"/>
        <v>0</v>
      </c>
      <c r="J140" s="205">
        <f t="shared" si="11"/>
        <v>0</v>
      </c>
      <c r="K140" s="205">
        <f t="shared" si="9"/>
        <v>0</v>
      </c>
      <c r="L140" s="203">
        <f t="shared" si="10"/>
        <v>0</v>
      </c>
      <c r="M140" s="203">
        <f t="shared" si="12"/>
        <v>0</v>
      </c>
      <c r="O140" s="208">
        <f t="shared" si="8"/>
        <v>0</v>
      </c>
    </row>
    <row r="141" spans="1:15" hidden="1">
      <c r="A141" s="159" t="s">
        <v>342</v>
      </c>
      <c r="B141" s="160" t="s">
        <v>343</v>
      </c>
      <c r="C141" s="158">
        <v>0</v>
      </c>
      <c r="D141" s="142">
        <v>0</v>
      </c>
      <c r="E141" s="142">
        <v>0</v>
      </c>
      <c r="F141" s="143">
        <v>0</v>
      </c>
      <c r="H141" s="205">
        <f t="shared" si="11"/>
        <v>0</v>
      </c>
      <c r="I141" s="205">
        <f t="shared" si="11"/>
        <v>0</v>
      </c>
      <c r="J141" s="205">
        <f t="shared" si="11"/>
        <v>0</v>
      </c>
      <c r="K141" s="205">
        <f t="shared" si="9"/>
        <v>0</v>
      </c>
      <c r="L141" s="203">
        <f t="shared" si="10"/>
        <v>0</v>
      </c>
      <c r="M141" s="203">
        <f t="shared" si="12"/>
        <v>0</v>
      </c>
      <c r="O141" s="208">
        <f t="shared" ref="O141:O204" si="13">C141/$C$9</f>
        <v>0</v>
      </c>
    </row>
    <row r="142" spans="1:15" s="206" customFormat="1">
      <c r="A142" s="150"/>
      <c r="B142" s="165"/>
      <c r="C142" s="141"/>
      <c r="D142" s="142"/>
      <c r="E142" s="142"/>
      <c r="F142" s="143"/>
      <c r="H142" s="207">
        <f t="shared" si="11"/>
        <v>0</v>
      </c>
      <c r="I142" s="207">
        <f t="shared" si="11"/>
        <v>0</v>
      </c>
      <c r="J142" s="207">
        <f t="shared" si="11"/>
        <v>0</v>
      </c>
      <c r="K142" s="207">
        <f t="shared" si="9"/>
        <v>0</v>
      </c>
      <c r="L142" s="203">
        <f t="shared" si="10"/>
        <v>0</v>
      </c>
      <c r="M142" s="203">
        <f t="shared" si="12"/>
        <v>0</v>
      </c>
      <c r="O142" s="208">
        <f t="shared" si="13"/>
        <v>0</v>
      </c>
    </row>
    <row r="143" spans="1:15" ht="25.5">
      <c r="A143" s="153" t="s">
        <v>344</v>
      </c>
      <c r="B143" s="154" t="s">
        <v>345</v>
      </c>
      <c r="C143" s="148">
        <v>4500000</v>
      </c>
      <c r="D143" s="148">
        <v>0</v>
      </c>
      <c r="E143" s="148">
        <v>0</v>
      </c>
      <c r="F143" s="149">
        <v>4500000</v>
      </c>
      <c r="G143" s="200"/>
      <c r="H143" s="209">
        <f t="shared" si="11"/>
        <v>4500</v>
      </c>
      <c r="I143" s="205">
        <f t="shared" si="11"/>
        <v>0</v>
      </c>
      <c r="J143" s="205">
        <f t="shared" si="11"/>
        <v>0</v>
      </c>
      <c r="K143" s="205">
        <f t="shared" si="9"/>
        <v>4500</v>
      </c>
      <c r="L143" s="203">
        <f t="shared" si="10"/>
        <v>0</v>
      </c>
      <c r="M143" s="203">
        <f t="shared" si="12"/>
        <v>0</v>
      </c>
      <c r="O143" s="208">
        <f t="shared" si="13"/>
        <v>4.2638827916154573E-3</v>
      </c>
    </row>
    <row r="144" spans="1:15" hidden="1">
      <c r="A144" s="150" t="s">
        <v>346</v>
      </c>
      <c r="B144" s="151" t="s">
        <v>347</v>
      </c>
      <c r="C144" s="158">
        <v>0</v>
      </c>
      <c r="D144" s="142">
        <v>0</v>
      </c>
      <c r="E144" s="142">
        <v>0</v>
      </c>
      <c r="F144" s="143">
        <v>0</v>
      </c>
      <c r="H144" s="209">
        <f t="shared" si="11"/>
        <v>0</v>
      </c>
      <c r="I144" s="205">
        <f t="shared" si="11"/>
        <v>0</v>
      </c>
      <c r="J144" s="205">
        <f t="shared" si="11"/>
        <v>0</v>
      </c>
      <c r="K144" s="205">
        <f t="shared" si="9"/>
        <v>0</v>
      </c>
      <c r="L144" s="203">
        <f t="shared" si="10"/>
        <v>0</v>
      </c>
      <c r="M144" s="203">
        <f t="shared" si="12"/>
        <v>0</v>
      </c>
      <c r="O144" s="208">
        <f t="shared" si="13"/>
        <v>0</v>
      </c>
    </row>
    <row r="145" spans="1:15" hidden="1">
      <c r="A145" s="150" t="s">
        <v>348</v>
      </c>
      <c r="B145" s="151" t="s">
        <v>349</v>
      </c>
      <c r="C145" s="158">
        <v>0</v>
      </c>
      <c r="D145" s="142">
        <v>0</v>
      </c>
      <c r="E145" s="142">
        <v>0</v>
      </c>
      <c r="F145" s="143">
        <v>0</v>
      </c>
      <c r="H145" s="209">
        <f t="shared" si="11"/>
        <v>0</v>
      </c>
      <c r="I145" s="205">
        <f t="shared" si="11"/>
        <v>0</v>
      </c>
      <c r="J145" s="205">
        <f t="shared" si="11"/>
        <v>0</v>
      </c>
      <c r="K145" s="205">
        <f t="shared" si="9"/>
        <v>0</v>
      </c>
      <c r="L145" s="203">
        <f t="shared" si="10"/>
        <v>0</v>
      </c>
      <c r="M145" s="203">
        <f t="shared" si="12"/>
        <v>0</v>
      </c>
      <c r="O145" s="208">
        <f t="shared" si="13"/>
        <v>0</v>
      </c>
    </row>
    <row r="146" spans="1:15" ht="25.5" hidden="1" customHeight="1">
      <c r="A146" s="150" t="s">
        <v>350</v>
      </c>
      <c r="B146" s="151" t="s">
        <v>351</v>
      </c>
      <c r="C146" s="158">
        <v>0</v>
      </c>
      <c r="D146" s="142">
        <v>0</v>
      </c>
      <c r="E146" s="142">
        <v>0</v>
      </c>
      <c r="F146" s="143">
        <v>0</v>
      </c>
      <c r="H146" s="209">
        <f t="shared" si="11"/>
        <v>0</v>
      </c>
      <c r="I146" s="205">
        <f t="shared" si="11"/>
        <v>0</v>
      </c>
      <c r="J146" s="205">
        <f t="shared" si="11"/>
        <v>0</v>
      </c>
      <c r="K146" s="205">
        <f t="shared" si="9"/>
        <v>0</v>
      </c>
      <c r="L146" s="203">
        <f t="shared" si="10"/>
        <v>0</v>
      </c>
      <c r="M146" s="203">
        <f t="shared" si="12"/>
        <v>0</v>
      </c>
      <c r="O146" s="208">
        <f t="shared" si="13"/>
        <v>0</v>
      </c>
    </row>
    <row r="147" spans="1:15" ht="25.5">
      <c r="A147" s="150" t="s">
        <v>352</v>
      </c>
      <c r="B147" s="151" t="s">
        <v>353</v>
      </c>
      <c r="C147" s="158">
        <v>2500000</v>
      </c>
      <c r="D147" s="142">
        <v>0</v>
      </c>
      <c r="E147" s="142">
        <v>0</v>
      </c>
      <c r="F147" s="143">
        <v>2500000</v>
      </c>
      <c r="H147" s="209">
        <f t="shared" si="11"/>
        <v>2500</v>
      </c>
      <c r="I147" s="205">
        <f t="shared" si="11"/>
        <v>0</v>
      </c>
      <c r="J147" s="205">
        <f t="shared" si="11"/>
        <v>0</v>
      </c>
      <c r="K147" s="205">
        <f t="shared" si="9"/>
        <v>2500</v>
      </c>
      <c r="L147" s="203">
        <f t="shared" si="10"/>
        <v>0</v>
      </c>
      <c r="M147" s="203">
        <f t="shared" si="12"/>
        <v>0</v>
      </c>
      <c r="O147" s="208">
        <f t="shared" si="13"/>
        <v>2.3688237731196988E-3</v>
      </c>
    </row>
    <row r="148" spans="1:15">
      <c r="A148" s="150" t="s">
        <v>354</v>
      </c>
      <c r="B148" s="151" t="s">
        <v>355</v>
      </c>
      <c r="C148" s="158">
        <v>500000</v>
      </c>
      <c r="D148" s="142">
        <v>0</v>
      </c>
      <c r="E148" s="142">
        <v>0</v>
      </c>
      <c r="F148" s="143">
        <v>500000</v>
      </c>
      <c r="H148" s="209">
        <f t="shared" si="11"/>
        <v>500</v>
      </c>
      <c r="I148" s="205">
        <f t="shared" si="11"/>
        <v>0</v>
      </c>
      <c r="J148" s="205">
        <f t="shared" si="11"/>
        <v>0</v>
      </c>
      <c r="K148" s="205">
        <f t="shared" si="9"/>
        <v>500</v>
      </c>
      <c r="L148" s="203">
        <f t="shared" si="10"/>
        <v>0</v>
      </c>
      <c r="M148" s="203">
        <f t="shared" si="12"/>
        <v>0</v>
      </c>
      <c r="O148" s="208">
        <f t="shared" si="13"/>
        <v>4.7376475462393972E-4</v>
      </c>
    </row>
    <row r="149" spans="1:15" hidden="1">
      <c r="A149" s="150" t="s">
        <v>356</v>
      </c>
      <c r="B149" s="151" t="s">
        <v>357</v>
      </c>
      <c r="C149" s="158">
        <v>0</v>
      </c>
      <c r="D149" s="142">
        <v>0</v>
      </c>
      <c r="E149" s="142">
        <v>0</v>
      </c>
      <c r="F149" s="143">
        <v>0</v>
      </c>
      <c r="H149" s="209">
        <f t="shared" si="11"/>
        <v>0</v>
      </c>
      <c r="I149" s="205">
        <f t="shared" si="11"/>
        <v>0</v>
      </c>
      <c r="J149" s="205">
        <f t="shared" si="11"/>
        <v>0</v>
      </c>
      <c r="K149" s="205">
        <f t="shared" si="9"/>
        <v>0</v>
      </c>
      <c r="L149" s="203">
        <f t="shared" si="10"/>
        <v>0</v>
      </c>
      <c r="M149" s="203">
        <f t="shared" si="12"/>
        <v>0</v>
      </c>
      <c r="O149" s="208">
        <f t="shared" si="13"/>
        <v>0</v>
      </c>
    </row>
    <row r="150" spans="1:15" ht="25.5">
      <c r="A150" s="150" t="s">
        <v>358</v>
      </c>
      <c r="B150" s="151" t="s">
        <v>359</v>
      </c>
      <c r="C150" s="158">
        <v>1500000</v>
      </c>
      <c r="D150" s="142">
        <v>0</v>
      </c>
      <c r="E150" s="142">
        <v>0</v>
      </c>
      <c r="F150" s="143">
        <v>1500000</v>
      </c>
      <c r="H150" s="205">
        <f t="shared" si="11"/>
        <v>1500</v>
      </c>
      <c r="I150" s="205">
        <f t="shared" si="11"/>
        <v>0</v>
      </c>
      <c r="J150" s="205">
        <f t="shared" si="11"/>
        <v>0</v>
      </c>
      <c r="K150" s="205">
        <f t="shared" si="9"/>
        <v>1500</v>
      </c>
      <c r="L150" s="203">
        <f t="shared" si="10"/>
        <v>0</v>
      </c>
      <c r="M150" s="203">
        <f t="shared" si="12"/>
        <v>0</v>
      </c>
      <c r="O150" s="208">
        <f t="shared" si="13"/>
        <v>1.4212942638718192E-3</v>
      </c>
    </row>
    <row r="151" spans="1:15" ht="15" customHeight="1">
      <c r="A151" s="150"/>
      <c r="B151" s="151"/>
      <c r="C151" s="141"/>
      <c r="D151" s="142"/>
      <c r="E151" s="142"/>
      <c r="F151" s="143"/>
      <c r="H151" s="209">
        <f t="shared" si="11"/>
        <v>0</v>
      </c>
      <c r="I151" s="209">
        <f t="shared" si="11"/>
        <v>0</v>
      </c>
      <c r="J151" s="209">
        <f t="shared" si="11"/>
        <v>0</v>
      </c>
      <c r="K151" s="209">
        <f t="shared" si="9"/>
        <v>0</v>
      </c>
      <c r="L151" s="203">
        <f t="shared" si="10"/>
        <v>0</v>
      </c>
      <c r="M151" s="203">
        <f t="shared" si="12"/>
        <v>0</v>
      </c>
      <c r="O151" s="208">
        <f t="shared" si="13"/>
        <v>0</v>
      </c>
    </row>
    <row r="152" spans="1:15">
      <c r="A152" s="153" t="s">
        <v>360</v>
      </c>
      <c r="B152" s="154" t="s">
        <v>361</v>
      </c>
      <c r="C152" s="148">
        <v>860000</v>
      </c>
      <c r="D152" s="148">
        <v>310000</v>
      </c>
      <c r="E152" s="148">
        <v>0</v>
      </c>
      <c r="F152" s="149">
        <v>550000</v>
      </c>
      <c r="H152" s="209">
        <f t="shared" si="11"/>
        <v>860</v>
      </c>
      <c r="I152" s="205">
        <f t="shared" si="11"/>
        <v>310</v>
      </c>
      <c r="J152" s="205">
        <f t="shared" si="11"/>
        <v>0</v>
      </c>
      <c r="K152" s="205">
        <f t="shared" si="9"/>
        <v>550</v>
      </c>
      <c r="L152" s="203">
        <f t="shared" si="10"/>
        <v>0</v>
      </c>
      <c r="M152" s="203">
        <f t="shared" si="12"/>
        <v>0</v>
      </c>
      <c r="O152" s="208">
        <f t="shared" si="13"/>
        <v>8.148753779531763E-4</v>
      </c>
    </row>
    <row r="153" spans="1:15">
      <c r="A153" s="150" t="s">
        <v>362</v>
      </c>
      <c r="B153" s="151" t="s">
        <v>363</v>
      </c>
      <c r="C153" s="158">
        <v>360000</v>
      </c>
      <c r="D153" s="142">
        <v>60000</v>
      </c>
      <c r="E153" s="142">
        <v>0</v>
      </c>
      <c r="F153" s="143">
        <v>300000</v>
      </c>
      <c r="H153" s="209">
        <f t="shared" si="11"/>
        <v>360</v>
      </c>
      <c r="I153" s="205">
        <f t="shared" si="11"/>
        <v>60</v>
      </c>
      <c r="J153" s="205">
        <f t="shared" si="11"/>
        <v>0</v>
      </c>
      <c r="K153" s="205">
        <f t="shared" si="9"/>
        <v>300</v>
      </c>
      <c r="L153" s="203">
        <f t="shared" si="10"/>
        <v>0</v>
      </c>
      <c r="M153" s="203">
        <f t="shared" si="12"/>
        <v>0</v>
      </c>
      <c r="O153" s="208">
        <f t="shared" si="13"/>
        <v>3.4111062332923663E-4</v>
      </c>
    </row>
    <row r="154" spans="1:15" ht="12.75" customHeight="1">
      <c r="A154" s="150" t="s">
        <v>364</v>
      </c>
      <c r="B154" s="151" t="s">
        <v>365</v>
      </c>
      <c r="C154" s="158">
        <v>500000</v>
      </c>
      <c r="D154" s="142">
        <v>250000</v>
      </c>
      <c r="E154" s="142">
        <v>0</v>
      </c>
      <c r="F154" s="143">
        <v>250000</v>
      </c>
      <c r="H154" s="205">
        <f t="shared" si="11"/>
        <v>500</v>
      </c>
      <c r="I154" s="205">
        <f t="shared" si="11"/>
        <v>250</v>
      </c>
      <c r="J154" s="205">
        <f t="shared" si="11"/>
        <v>0</v>
      </c>
      <c r="K154" s="205">
        <f t="shared" si="9"/>
        <v>250</v>
      </c>
      <c r="L154" s="203">
        <f t="shared" si="10"/>
        <v>0</v>
      </c>
      <c r="M154" s="203">
        <f t="shared" si="12"/>
        <v>0</v>
      </c>
      <c r="O154" s="208">
        <f t="shared" si="13"/>
        <v>4.7376475462393972E-4</v>
      </c>
    </row>
    <row r="155" spans="1:15" ht="12.75" customHeight="1">
      <c r="A155" s="159"/>
      <c r="B155" s="160"/>
      <c r="C155" s="141"/>
      <c r="D155" s="142"/>
      <c r="E155" s="142"/>
      <c r="F155" s="143"/>
      <c r="H155" s="209">
        <f t="shared" si="11"/>
        <v>0</v>
      </c>
      <c r="I155" s="209">
        <f t="shared" si="11"/>
        <v>0</v>
      </c>
      <c r="J155" s="209">
        <f t="shared" si="11"/>
        <v>0</v>
      </c>
      <c r="K155" s="209">
        <f t="shared" si="9"/>
        <v>0</v>
      </c>
      <c r="L155" s="203">
        <f t="shared" si="10"/>
        <v>0</v>
      </c>
      <c r="M155" s="203">
        <f t="shared" si="12"/>
        <v>0</v>
      </c>
      <c r="O155" s="208">
        <f t="shared" si="13"/>
        <v>0</v>
      </c>
    </row>
    <row r="156" spans="1:15" ht="12.75" hidden="1" customHeight="1">
      <c r="A156" s="153">
        <v>2.0499999999999998</v>
      </c>
      <c r="B156" s="154" t="s">
        <v>366</v>
      </c>
      <c r="C156" s="158">
        <v>0</v>
      </c>
      <c r="D156" s="158">
        <v>0</v>
      </c>
      <c r="E156" s="158">
        <v>0</v>
      </c>
      <c r="F156" s="164">
        <v>0</v>
      </c>
      <c r="H156" s="209">
        <f t="shared" si="11"/>
        <v>0</v>
      </c>
      <c r="I156" s="205">
        <f t="shared" si="11"/>
        <v>0</v>
      </c>
      <c r="J156" s="205">
        <f t="shared" si="11"/>
        <v>0</v>
      </c>
      <c r="K156" s="205">
        <f t="shared" si="9"/>
        <v>0</v>
      </c>
      <c r="L156" s="203">
        <f t="shared" si="10"/>
        <v>0</v>
      </c>
      <c r="M156" s="203">
        <f t="shared" si="12"/>
        <v>0</v>
      </c>
      <c r="O156" s="208">
        <f t="shared" si="13"/>
        <v>0</v>
      </c>
    </row>
    <row r="157" spans="1:15" ht="12.75" hidden="1" customHeight="1">
      <c r="A157" s="159" t="s">
        <v>367</v>
      </c>
      <c r="B157" s="160" t="s">
        <v>368</v>
      </c>
      <c r="C157" s="158">
        <v>0</v>
      </c>
      <c r="D157" s="142">
        <v>0</v>
      </c>
      <c r="E157" s="142">
        <v>0</v>
      </c>
      <c r="F157" s="143">
        <v>0</v>
      </c>
      <c r="H157" s="209">
        <f t="shared" si="11"/>
        <v>0</v>
      </c>
      <c r="I157" s="205">
        <f t="shared" si="11"/>
        <v>0</v>
      </c>
      <c r="J157" s="205">
        <f t="shared" si="11"/>
        <v>0</v>
      </c>
      <c r="K157" s="205">
        <f t="shared" si="9"/>
        <v>0</v>
      </c>
      <c r="L157" s="203">
        <f t="shared" si="10"/>
        <v>0</v>
      </c>
      <c r="M157" s="203">
        <f t="shared" si="12"/>
        <v>0</v>
      </c>
      <c r="O157" s="208">
        <f t="shared" si="13"/>
        <v>0</v>
      </c>
    </row>
    <row r="158" spans="1:15" ht="12.75" hidden="1" customHeight="1">
      <c r="A158" s="159" t="s">
        <v>369</v>
      </c>
      <c r="B158" s="160" t="s">
        <v>370</v>
      </c>
      <c r="C158" s="158">
        <v>0</v>
      </c>
      <c r="D158" s="142">
        <v>0</v>
      </c>
      <c r="E158" s="142">
        <v>0</v>
      </c>
      <c r="F158" s="143">
        <v>0</v>
      </c>
      <c r="H158" s="209">
        <f t="shared" si="11"/>
        <v>0</v>
      </c>
      <c r="I158" s="205">
        <f t="shared" si="11"/>
        <v>0</v>
      </c>
      <c r="J158" s="205">
        <f t="shared" si="11"/>
        <v>0</v>
      </c>
      <c r="K158" s="205">
        <f t="shared" si="9"/>
        <v>0</v>
      </c>
      <c r="L158" s="203">
        <f t="shared" si="10"/>
        <v>0</v>
      </c>
      <c r="M158" s="203">
        <f t="shared" si="12"/>
        <v>0</v>
      </c>
      <c r="O158" s="208">
        <f t="shared" si="13"/>
        <v>0</v>
      </c>
    </row>
    <row r="159" spans="1:15" ht="12.75" hidden="1" customHeight="1">
      <c r="A159" s="159" t="s">
        <v>371</v>
      </c>
      <c r="B159" s="160" t="s">
        <v>372</v>
      </c>
      <c r="C159" s="158">
        <v>0</v>
      </c>
      <c r="D159" s="142">
        <v>0</v>
      </c>
      <c r="E159" s="142">
        <v>0</v>
      </c>
      <c r="F159" s="143">
        <v>0</v>
      </c>
      <c r="H159" s="209">
        <f t="shared" si="11"/>
        <v>0</v>
      </c>
      <c r="I159" s="205">
        <f t="shared" si="11"/>
        <v>0</v>
      </c>
      <c r="J159" s="205">
        <f t="shared" si="11"/>
        <v>0</v>
      </c>
      <c r="K159" s="205">
        <f t="shared" si="9"/>
        <v>0</v>
      </c>
      <c r="L159" s="203">
        <f t="shared" si="10"/>
        <v>0</v>
      </c>
      <c r="M159" s="203">
        <f t="shared" si="12"/>
        <v>0</v>
      </c>
      <c r="O159" s="208">
        <f t="shared" si="13"/>
        <v>0</v>
      </c>
    </row>
    <row r="160" spans="1:15" ht="12.75" hidden="1" customHeight="1">
      <c r="A160" s="159" t="s">
        <v>373</v>
      </c>
      <c r="B160" s="160" t="s">
        <v>374</v>
      </c>
      <c r="C160" s="158">
        <v>0</v>
      </c>
      <c r="D160" s="142">
        <v>0</v>
      </c>
      <c r="E160" s="142">
        <v>0</v>
      </c>
      <c r="F160" s="143">
        <v>0</v>
      </c>
      <c r="H160" s="205">
        <f t="shared" si="11"/>
        <v>0</v>
      </c>
      <c r="I160" s="205">
        <f t="shared" si="11"/>
        <v>0</v>
      </c>
      <c r="J160" s="205">
        <f t="shared" si="11"/>
        <v>0</v>
      </c>
      <c r="K160" s="205">
        <f t="shared" si="9"/>
        <v>0</v>
      </c>
      <c r="L160" s="203">
        <f t="shared" si="10"/>
        <v>0</v>
      </c>
      <c r="M160" s="203">
        <f t="shared" si="12"/>
        <v>0</v>
      </c>
      <c r="O160" s="208">
        <f t="shared" si="13"/>
        <v>0</v>
      </c>
    </row>
    <row r="161" spans="1:15" s="206" customFormat="1" ht="12.75" hidden="1" customHeight="1">
      <c r="A161" s="150"/>
      <c r="B161" s="151"/>
      <c r="C161" s="141"/>
      <c r="D161" s="142"/>
      <c r="E161" s="142"/>
      <c r="F161" s="143"/>
      <c r="H161" s="207">
        <f t="shared" si="11"/>
        <v>0</v>
      </c>
      <c r="I161" s="207">
        <f t="shared" si="11"/>
        <v>0</v>
      </c>
      <c r="J161" s="207">
        <f t="shared" si="11"/>
        <v>0</v>
      </c>
      <c r="K161" s="207">
        <f t="shared" si="9"/>
        <v>0</v>
      </c>
      <c r="L161" s="203">
        <f t="shared" si="10"/>
        <v>0</v>
      </c>
      <c r="M161" s="203">
        <f t="shared" si="12"/>
        <v>0</v>
      </c>
      <c r="O161" s="208">
        <f t="shared" si="13"/>
        <v>0</v>
      </c>
    </row>
    <row r="162" spans="1:15">
      <c r="A162" s="153" t="s">
        <v>375</v>
      </c>
      <c r="B162" s="154" t="s">
        <v>376</v>
      </c>
      <c r="C162" s="148">
        <v>5144000</v>
      </c>
      <c r="D162" s="148">
        <v>5014000</v>
      </c>
      <c r="E162" s="148">
        <v>0</v>
      </c>
      <c r="F162" s="149">
        <v>130000</v>
      </c>
      <c r="G162" s="200"/>
      <c r="H162" s="209">
        <f t="shared" si="11"/>
        <v>5144</v>
      </c>
      <c r="I162" s="205">
        <f t="shared" si="11"/>
        <v>5014</v>
      </c>
      <c r="J162" s="205">
        <f t="shared" si="11"/>
        <v>0</v>
      </c>
      <c r="K162" s="205">
        <f t="shared" si="9"/>
        <v>130</v>
      </c>
      <c r="L162" s="203">
        <f t="shared" si="10"/>
        <v>0</v>
      </c>
      <c r="M162" s="203">
        <f t="shared" si="12"/>
        <v>0</v>
      </c>
      <c r="O162" s="208">
        <f t="shared" si="13"/>
        <v>4.8740917955710922E-3</v>
      </c>
    </row>
    <row r="163" spans="1:15">
      <c r="A163" s="150" t="s">
        <v>377</v>
      </c>
      <c r="B163" s="151" t="s">
        <v>378</v>
      </c>
      <c r="C163" s="158">
        <v>1184000</v>
      </c>
      <c r="D163" s="142">
        <v>1154000</v>
      </c>
      <c r="E163" s="142">
        <v>0</v>
      </c>
      <c r="F163" s="143">
        <v>30000</v>
      </c>
      <c r="H163" s="209">
        <f t="shared" si="11"/>
        <v>1184</v>
      </c>
      <c r="I163" s="205">
        <f t="shared" si="11"/>
        <v>1154</v>
      </c>
      <c r="J163" s="205">
        <f t="shared" si="11"/>
        <v>0</v>
      </c>
      <c r="K163" s="205">
        <f t="shared" si="9"/>
        <v>30</v>
      </c>
      <c r="L163" s="203">
        <f t="shared" si="10"/>
        <v>0</v>
      </c>
      <c r="M163" s="203">
        <f t="shared" si="12"/>
        <v>0</v>
      </c>
      <c r="O163" s="208">
        <f t="shared" si="13"/>
        <v>1.1218749389494893E-3</v>
      </c>
    </row>
    <row r="164" spans="1:15" ht="25.5">
      <c r="A164" s="150" t="s">
        <v>379</v>
      </c>
      <c r="B164" s="151" t="s">
        <v>380</v>
      </c>
      <c r="C164" s="158">
        <v>100000</v>
      </c>
      <c r="D164" s="142">
        <v>0</v>
      </c>
      <c r="E164" s="142">
        <v>0</v>
      </c>
      <c r="F164" s="143">
        <v>100000</v>
      </c>
      <c r="H164" s="209">
        <f t="shared" si="11"/>
        <v>100</v>
      </c>
      <c r="I164" s="205">
        <f t="shared" si="11"/>
        <v>0</v>
      </c>
      <c r="J164" s="205">
        <f t="shared" si="11"/>
        <v>0</v>
      </c>
      <c r="K164" s="205">
        <f t="shared" si="9"/>
        <v>100</v>
      </c>
      <c r="L164" s="203">
        <f t="shared" si="10"/>
        <v>0</v>
      </c>
      <c r="M164" s="203">
        <f t="shared" si="12"/>
        <v>0</v>
      </c>
      <c r="O164" s="208">
        <f t="shared" si="13"/>
        <v>9.4752950924787945E-5</v>
      </c>
    </row>
    <row r="165" spans="1:15">
      <c r="A165" s="150" t="s">
        <v>381</v>
      </c>
      <c r="B165" s="151" t="s">
        <v>382</v>
      </c>
      <c r="C165" s="158">
        <v>3000000</v>
      </c>
      <c r="D165" s="142">
        <v>3000000</v>
      </c>
      <c r="E165" s="142">
        <v>0</v>
      </c>
      <c r="F165" s="143">
        <v>0</v>
      </c>
      <c r="H165" s="209">
        <f t="shared" si="11"/>
        <v>3000</v>
      </c>
      <c r="I165" s="205">
        <f t="shared" si="11"/>
        <v>3000</v>
      </c>
      <c r="J165" s="205">
        <f t="shared" si="11"/>
        <v>0</v>
      </c>
      <c r="K165" s="205">
        <f t="shared" si="9"/>
        <v>0</v>
      </c>
      <c r="L165" s="203">
        <f t="shared" si="10"/>
        <v>0</v>
      </c>
      <c r="M165" s="203">
        <f t="shared" si="12"/>
        <v>0</v>
      </c>
      <c r="O165" s="208">
        <f t="shared" si="13"/>
        <v>2.8425885277436383E-3</v>
      </c>
    </row>
    <row r="166" spans="1:15">
      <c r="A166" s="150" t="s">
        <v>383</v>
      </c>
      <c r="B166" s="151" t="s">
        <v>384</v>
      </c>
      <c r="C166" s="158">
        <v>860000</v>
      </c>
      <c r="D166" s="142">
        <v>860000</v>
      </c>
      <c r="E166" s="142">
        <v>0</v>
      </c>
      <c r="F166" s="143">
        <v>0</v>
      </c>
      <c r="H166" s="209">
        <f t="shared" si="11"/>
        <v>860</v>
      </c>
      <c r="I166" s="205">
        <f t="shared" si="11"/>
        <v>860</v>
      </c>
      <c r="J166" s="205">
        <f t="shared" si="11"/>
        <v>0</v>
      </c>
      <c r="K166" s="205">
        <f t="shared" si="9"/>
        <v>0</v>
      </c>
      <c r="L166" s="203">
        <f t="shared" si="10"/>
        <v>0</v>
      </c>
      <c r="M166" s="203">
        <f t="shared" si="12"/>
        <v>0</v>
      </c>
      <c r="O166" s="208">
        <f t="shared" si="13"/>
        <v>8.148753779531763E-4</v>
      </c>
    </row>
    <row r="167" spans="1:15" hidden="1">
      <c r="A167" s="150" t="s">
        <v>385</v>
      </c>
      <c r="B167" s="151" t="s">
        <v>386</v>
      </c>
      <c r="C167" s="158">
        <v>0</v>
      </c>
      <c r="D167" s="142">
        <v>0</v>
      </c>
      <c r="E167" s="142">
        <v>0</v>
      </c>
      <c r="F167" s="143">
        <v>0</v>
      </c>
      <c r="H167" s="209">
        <f t="shared" si="11"/>
        <v>0</v>
      </c>
      <c r="I167" s="205">
        <f t="shared" si="11"/>
        <v>0</v>
      </c>
      <c r="J167" s="205">
        <f t="shared" si="11"/>
        <v>0</v>
      </c>
      <c r="K167" s="205">
        <f t="shared" si="9"/>
        <v>0</v>
      </c>
      <c r="L167" s="203">
        <f t="shared" si="10"/>
        <v>0</v>
      </c>
      <c r="M167" s="203">
        <f t="shared" si="12"/>
        <v>0</v>
      </c>
      <c r="O167" s="208">
        <f t="shared" si="13"/>
        <v>0</v>
      </c>
    </row>
    <row r="168" spans="1:15" hidden="1">
      <c r="A168" s="150" t="s">
        <v>387</v>
      </c>
      <c r="B168" s="151" t="s">
        <v>388</v>
      </c>
      <c r="C168" s="158">
        <v>0</v>
      </c>
      <c r="D168" s="142">
        <v>0</v>
      </c>
      <c r="E168" s="142">
        <v>0</v>
      </c>
      <c r="F168" s="143">
        <v>0</v>
      </c>
      <c r="H168" s="209">
        <f t="shared" si="11"/>
        <v>0</v>
      </c>
      <c r="I168" s="205">
        <f t="shared" si="11"/>
        <v>0</v>
      </c>
      <c r="J168" s="205">
        <f t="shared" si="11"/>
        <v>0</v>
      </c>
      <c r="K168" s="205">
        <f t="shared" si="9"/>
        <v>0</v>
      </c>
      <c r="L168" s="203">
        <f t="shared" si="10"/>
        <v>0</v>
      </c>
      <c r="M168" s="203">
        <f t="shared" si="12"/>
        <v>0</v>
      </c>
      <c r="O168" s="208">
        <f t="shared" si="13"/>
        <v>0</v>
      </c>
    </row>
    <row r="169" spans="1:15" hidden="1">
      <c r="A169" s="150" t="s">
        <v>389</v>
      </c>
      <c r="B169" s="151" t="s">
        <v>390</v>
      </c>
      <c r="C169" s="158">
        <v>0</v>
      </c>
      <c r="D169" s="142">
        <v>0</v>
      </c>
      <c r="E169" s="142">
        <v>0</v>
      </c>
      <c r="F169" s="143">
        <v>0</v>
      </c>
      <c r="H169" s="209">
        <f t="shared" si="11"/>
        <v>0</v>
      </c>
      <c r="I169" s="205">
        <f t="shared" si="11"/>
        <v>0</v>
      </c>
      <c r="J169" s="205">
        <f t="shared" si="11"/>
        <v>0</v>
      </c>
      <c r="K169" s="205">
        <f t="shared" si="9"/>
        <v>0</v>
      </c>
      <c r="L169" s="203">
        <f t="shared" si="10"/>
        <v>0</v>
      </c>
      <c r="M169" s="203">
        <f t="shared" si="12"/>
        <v>0</v>
      </c>
      <c r="O169" s="208">
        <f t="shared" si="13"/>
        <v>0</v>
      </c>
    </row>
    <row r="170" spans="1:15" hidden="1">
      <c r="A170" s="150" t="s">
        <v>391</v>
      </c>
      <c r="B170" s="151" t="s">
        <v>392</v>
      </c>
      <c r="C170" s="158">
        <v>0</v>
      </c>
      <c r="D170" s="142">
        <v>0</v>
      </c>
      <c r="E170" s="142">
        <v>0</v>
      </c>
      <c r="F170" s="143">
        <v>0</v>
      </c>
      <c r="H170" s="205">
        <f t="shared" si="11"/>
        <v>0</v>
      </c>
      <c r="I170" s="205">
        <f t="shared" si="11"/>
        <v>0</v>
      </c>
      <c r="J170" s="205">
        <f t="shared" si="11"/>
        <v>0</v>
      </c>
      <c r="K170" s="205">
        <f t="shared" si="9"/>
        <v>0</v>
      </c>
      <c r="L170" s="203">
        <f t="shared" si="10"/>
        <v>0</v>
      </c>
      <c r="M170" s="203">
        <f t="shared" si="12"/>
        <v>0</v>
      </c>
      <c r="O170" s="208">
        <f t="shared" si="13"/>
        <v>0</v>
      </c>
    </row>
    <row r="171" spans="1:15" s="206" customFormat="1">
      <c r="A171" s="150"/>
      <c r="B171" s="151"/>
      <c r="C171" s="141"/>
      <c r="D171" s="142"/>
      <c r="E171" s="142"/>
      <c r="F171" s="143"/>
      <c r="H171" s="207">
        <f t="shared" si="11"/>
        <v>0</v>
      </c>
      <c r="I171" s="207">
        <f t="shared" si="11"/>
        <v>0</v>
      </c>
      <c r="J171" s="207">
        <f t="shared" si="11"/>
        <v>0</v>
      </c>
      <c r="K171" s="207">
        <f t="shared" si="9"/>
        <v>0</v>
      </c>
      <c r="L171" s="203">
        <f t="shared" si="10"/>
        <v>0</v>
      </c>
      <c r="M171" s="203">
        <f t="shared" si="12"/>
        <v>0</v>
      </c>
      <c r="O171" s="208">
        <f t="shared" si="13"/>
        <v>0</v>
      </c>
    </row>
    <row r="172" spans="1:15">
      <c r="A172" s="153">
        <v>5</v>
      </c>
      <c r="B172" s="154" t="s">
        <v>393</v>
      </c>
      <c r="C172" s="148">
        <v>339947400</v>
      </c>
      <c r="D172" s="148">
        <v>174555900</v>
      </c>
      <c r="E172" s="148">
        <v>136697500</v>
      </c>
      <c r="F172" s="149">
        <v>28694000</v>
      </c>
      <c r="H172" s="205">
        <f t="shared" si="11"/>
        <v>339947.4</v>
      </c>
      <c r="I172" s="205">
        <f t="shared" si="11"/>
        <v>174555.9</v>
      </c>
      <c r="J172" s="205">
        <f t="shared" si="11"/>
        <v>136697.5</v>
      </c>
      <c r="K172" s="205">
        <f t="shared" si="9"/>
        <v>28694</v>
      </c>
      <c r="L172" s="203">
        <f t="shared" si="10"/>
        <v>0</v>
      </c>
      <c r="M172" s="203">
        <f t="shared" si="12"/>
        <v>0</v>
      </c>
      <c r="O172" s="208">
        <f t="shared" si="13"/>
        <v>0.3221101930920926</v>
      </c>
    </row>
    <row r="173" spans="1:15" s="206" customFormat="1">
      <c r="A173" s="150"/>
      <c r="B173" s="151"/>
      <c r="C173" s="141"/>
      <c r="D173" s="142"/>
      <c r="E173" s="142"/>
      <c r="F173" s="143"/>
      <c r="H173" s="207">
        <f t="shared" si="11"/>
        <v>0</v>
      </c>
      <c r="I173" s="207">
        <f t="shared" si="11"/>
        <v>0</v>
      </c>
      <c r="J173" s="207">
        <f t="shared" si="11"/>
        <v>0</v>
      </c>
      <c r="K173" s="207">
        <f t="shared" si="9"/>
        <v>0</v>
      </c>
      <c r="L173" s="203">
        <f t="shared" si="10"/>
        <v>0</v>
      </c>
      <c r="M173" s="203">
        <f t="shared" si="12"/>
        <v>0</v>
      </c>
      <c r="O173" s="208">
        <f t="shared" si="13"/>
        <v>0</v>
      </c>
    </row>
    <row r="174" spans="1:15" ht="12.75" customHeight="1">
      <c r="A174" s="153" t="s">
        <v>394</v>
      </c>
      <c r="B174" s="154" t="s">
        <v>395</v>
      </c>
      <c r="C174" s="148">
        <v>316447400</v>
      </c>
      <c r="D174" s="148">
        <v>174555900</v>
      </c>
      <c r="E174" s="148">
        <v>136697500</v>
      </c>
      <c r="F174" s="149">
        <v>5194000</v>
      </c>
      <c r="H174" s="209">
        <f t="shared" si="11"/>
        <v>316447.40000000002</v>
      </c>
      <c r="I174" s="205">
        <f t="shared" si="11"/>
        <v>174555.9</v>
      </c>
      <c r="J174" s="205">
        <f t="shared" si="11"/>
        <v>136697.5</v>
      </c>
      <c r="K174" s="205">
        <f t="shared" si="9"/>
        <v>5194</v>
      </c>
      <c r="L174" s="203">
        <f t="shared" si="10"/>
        <v>0</v>
      </c>
      <c r="M174" s="203">
        <f t="shared" si="12"/>
        <v>0</v>
      </c>
      <c r="O174" s="208">
        <f t="shared" si="13"/>
        <v>0.29984324962476744</v>
      </c>
    </row>
    <row r="175" spans="1:15" ht="12.75" customHeight="1">
      <c r="A175" s="159" t="s">
        <v>396</v>
      </c>
      <c r="B175" s="160" t="s">
        <v>397</v>
      </c>
      <c r="C175" s="158">
        <v>400000</v>
      </c>
      <c r="D175" s="142">
        <v>400000</v>
      </c>
      <c r="E175" s="142">
        <v>0</v>
      </c>
      <c r="F175" s="143">
        <v>0</v>
      </c>
      <c r="H175" s="209">
        <f t="shared" si="11"/>
        <v>400</v>
      </c>
      <c r="I175" s="205">
        <f t="shared" si="11"/>
        <v>400</v>
      </c>
      <c r="J175" s="205">
        <f t="shared" si="11"/>
        <v>0</v>
      </c>
      <c r="K175" s="205">
        <f t="shared" si="9"/>
        <v>0</v>
      </c>
      <c r="L175" s="203">
        <f t="shared" si="10"/>
        <v>0</v>
      </c>
      <c r="M175" s="203">
        <f t="shared" si="12"/>
        <v>0</v>
      </c>
      <c r="O175" s="208">
        <f t="shared" si="13"/>
        <v>3.7901180369915178E-4</v>
      </c>
    </row>
    <row r="176" spans="1:15">
      <c r="A176" s="159" t="s">
        <v>398</v>
      </c>
      <c r="B176" s="160" t="s">
        <v>399</v>
      </c>
      <c r="C176" s="158">
        <v>1348600</v>
      </c>
      <c r="D176" s="142">
        <v>1000000</v>
      </c>
      <c r="E176" s="142">
        <v>348600</v>
      </c>
      <c r="F176" s="143">
        <v>0</v>
      </c>
      <c r="G176" s="200"/>
      <c r="H176" s="209">
        <f t="shared" si="11"/>
        <v>1348.6</v>
      </c>
      <c r="I176" s="205">
        <f t="shared" si="11"/>
        <v>1000</v>
      </c>
      <c r="J176" s="205">
        <f t="shared" si="11"/>
        <v>348.6</v>
      </c>
      <c r="K176" s="205">
        <f t="shared" si="9"/>
        <v>0</v>
      </c>
      <c r="L176" s="203">
        <f t="shared" si="10"/>
        <v>0</v>
      </c>
      <c r="M176" s="203">
        <f t="shared" si="12"/>
        <v>0</v>
      </c>
      <c r="O176" s="208">
        <f t="shared" si="13"/>
        <v>1.2778382961716904E-3</v>
      </c>
    </row>
    <row r="177" spans="1:15">
      <c r="A177" s="150" t="s">
        <v>400</v>
      </c>
      <c r="B177" s="151" t="s">
        <v>401</v>
      </c>
      <c r="C177" s="158">
        <v>1920000</v>
      </c>
      <c r="D177" s="142">
        <v>1000000</v>
      </c>
      <c r="E177" s="142">
        <v>0</v>
      </c>
      <c r="F177" s="143">
        <v>920000</v>
      </c>
      <c r="H177" s="209">
        <f t="shared" si="11"/>
        <v>1920</v>
      </c>
      <c r="I177" s="205">
        <f t="shared" si="11"/>
        <v>1000</v>
      </c>
      <c r="J177" s="205">
        <f t="shared" si="11"/>
        <v>0</v>
      </c>
      <c r="K177" s="205">
        <f t="shared" si="9"/>
        <v>920</v>
      </c>
      <c r="L177" s="203">
        <f t="shared" si="10"/>
        <v>0</v>
      </c>
      <c r="M177" s="203">
        <f t="shared" si="12"/>
        <v>0</v>
      </c>
      <c r="O177" s="208">
        <f t="shared" si="13"/>
        <v>1.8192566577559287E-3</v>
      </c>
    </row>
    <row r="178" spans="1:15">
      <c r="A178" s="150" t="s">
        <v>402</v>
      </c>
      <c r="B178" s="151" t="s">
        <v>403</v>
      </c>
      <c r="C178" s="158">
        <v>302771800</v>
      </c>
      <c r="D178" s="142">
        <v>168010900</v>
      </c>
      <c r="E178" s="142">
        <v>134460900</v>
      </c>
      <c r="F178" s="143">
        <v>300000</v>
      </c>
      <c r="G178" s="200"/>
      <c r="H178" s="209">
        <f t="shared" si="11"/>
        <v>302771.8</v>
      </c>
      <c r="I178" s="205">
        <f t="shared" si="11"/>
        <v>168010.9</v>
      </c>
      <c r="J178" s="205">
        <f t="shared" si="11"/>
        <v>134460.9</v>
      </c>
      <c r="K178" s="205">
        <f t="shared" si="9"/>
        <v>300</v>
      </c>
      <c r="L178" s="203">
        <f t="shared" si="10"/>
        <v>0</v>
      </c>
      <c r="M178" s="203">
        <f t="shared" si="12"/>
        <v>0</v>
      </c>
      <c r="O178" s="208">
        <f t="shared" si="13"/>
        <v>0.28688521506809711</v>
      </c>
    </row>
    <row r="179" spans="1:15" ht="12.75" customHeight="1">
      <c r="A179" s="150" t="s">
        <v>404</v>
      </c>
      <c r="B179" s="151" t="s">
        <v>405</v>
      </c>
      <c r="C179" s="158">
        <v>8807000</v>
      </c>
      <c r="D179" s="142">
        <v>4145000</v>
      </c>
      <c r="E179" s="142">
        <v>1888000</v>
      </c>
      <c r="F179" s="143">
        <v>2774000</v>
      </c>
      <c r="H179" s="209">
        <f t="shared" si="11"/>
        <v>8807</v>
      </c>
      <c r="I179" s="205">
        <f t="shared" si="11"/>
        <v>4145</v>
      </c>
      <c r="J179" s="205">
        <f t="shared" si="11"/>
        <v>1888</v>
      </c>
      <c r="K179" s="205">
        <f t="shared" si="9"/>
        <v>2774</v>
      </c>
      <c r="L179" s="203">
        <f t="shared" si="10"/>
        <v>0</v>
      </c>
      <c r="M179" s="203">
        <f t="shared" si="12"/>
        <v>0</v>
      </c>
      <c r="O179" s="208">
        <f t="shared" si="13"/>
        <v>8.3448923879460742E-3</v>
      </c>
    </row>
    <row r="180" spans="1:15" ht="25.5" customHeight="1">
      <c r="A180" s="159" t="s">
        <v>406</v>
      </c>
      <c r="B180" s="160" t="s">
        <v>407</v>
      </c>
      <c r="C180" s="158">
        <v>1200000</v>
      </c>
      <c r="D180" s="142">
        <v>0</v>
      </c>
      <c r="E180" s="142">
        <v>0</v>
      </c>
      <c r="F180" s="143">
        <v>1200000</v>
      </c>
      <c r="H180" s="209">
        <f t="shared" si="11"/>
        <v>1200</v>
      </c>
      <c r="I180" s="205">
        <f t="shared" si="11"/>
        <v>0</v>
      </c>
      <c r="J180" s="205">
        <f t="shared" si="11"/>
        <v>0</v>
      </c>
      <c r="K180" s="205">
        <f t="shared" si="9"/>
        <v>1200</v>
      </c>
      <c r="L180" s="203">
        <f t="shared" si="10"/>
        <v>0</v>
      </c>
      <c r="M180" s="203">
        <f t="shared" si="12"/>
        <v>0</v>
      </c>
      <c r="O180" s="208">
        <f t="shared" si="13"/>
        <v>1.1370354110974553E-3</v>
      </c>
    </row>
    <row r="181" spans="1:15" hidden="1">
      <c r="A181" s="150" t="s">
        <v>408</v>
      </c>
      <c r="B181" s="151" t="s">
        <v>409</v>
      </c>
      <c r="C181" s="158">
        <v>0</v>
      </c>
      <c r="D181" s="142">
        <v>0</v>
      </c>
      <c r="E181" s="142">
        <v>0</v>
      </c>
      <c r="F181" s="143">
        <v>0</v>
      </c>
      <c r="H181" s="209">
        <f t="shared" si="11"/>
        <v>0</v>
      </c>
      <c r="I181" s="205">
        <f t="shared" si="11"/>
        <v>0</v>
      </c>
      <c r="J181" s="205">
        <f t="shared" si="11"/>
        <v>0</v>
      </c>
      <c r="K181" s="205">
        <f t="shared" si="9"/>
        <v>0</v>
      </c>
      <c r="L181" s="203">
        <f t="shared" si="10"/>
        <v>0</v>
      </c>
      <c r="M181" s="203">
        <f t="shared" si="12"/>
        <v>0</v>
      </c>
      <c r="O181" s="208">
        <f t="shared" si="13"/>
        <v>0</v>
      </c>
    </row>
    <row r="182" spans="1:15" hidden="1">
      <c r="A182" s="150" t="s">
        <v>410</v>
      </c>
      <c r="B182" s="151" t="s">
        <v>411</v>
      </c>
      <c r="C182" s="158">
        <v>0</v>
      </c>
      <c r="D182" s="142">
        <v>0</v>
      </c>
      <c r="E182" s="142">
        <v>0</v>
      </c>
      <c r="F182" s="143">
        <v>0</v>
      </c>
      <c r="H182" s="205">
        <f t="shared" si="11"/>
        <v>0</v>
      </c>
      <c r="I182" s="205">
        <f t="shared" si="11"/>
        <v>0</v>
      </c>
      <c r="J182" s="205">
        <f t="shared" si="11"/>
        <v>0</v>
      </c>
      <c r="K182" s="205">
        <f t="shared" si="9"/>
        <v>0</v>
      </c>
      <c r="L182" s="203">
        <f t="shared" si="10"/>
        <v>0</v>
      </c>
      <c r="M182" s="203">
        <f t="shared" si="12"/>
        <v>0</v>
      </c>
      <c r="O182" s="208">
        <f t="shared" si="13"/>
        <v>0</v>
      </c>
    </row>
    <row r="183" spans="1:15" ht="12.75" hidden="1" customHeight="1">
      <c r="A183" s="150"/>
      <c r="B183" s="151"/>
      <c r="C183" s="141"/>
      <c r="D183" s="142"/>
      <c r="E183" s="142"/>
      <c r="F183" s="143"/>
      <c r="H183" s="209">
        <f t="shared" si="11"/>
        <v>0</v>
      </c>
      <c r="I183" s="209">
        <f t="shared" si="11"/>
        <v>0</v>
      </c>
      <c r="J183" s="209">
        <f t="shared" si="11"/>
        <v>0</v>
      </c>
      <c r="K183" s="209">
        <f t="shared" si="9"/>
        <v>0</v>
      </c>
      <c r="L183" s="203">
        <f t="shared" si="10"/>
        <v>0</v>
      </c>
      <c r="M183" s="203">
        <f t="shared" si="12"/>
        <v>0</v>
      </c>
      <c r="O183" s="208">
        <f t="shared" si="13"/>
        <v>0</v>
      </c>
    </row>
    <row r="184" spans="1:15" ht="12.75" hidden="1" customHeight="1">
      <c r="A184" s="153">
        <v>5.0199999999999996</v>
      </c>
      <c r="B184" s="154" t="s">
        <v>412</v>
      </c>
      <c r="C184" s="148">
        <v>0</v>
      </c>
      <c r="D184" s="148">
        <v>0</v>
      </c>
      <c r="E184" s="148">
        <v>0</v>
      </c>
      <c r="F184" s="149">
        <v>0</v>
      </c>
      <c r="H184" s="209">
        <f t="shared" si="11"/>
        <v>0</v>
      </c>
      <c r="I184" s="205">
        <f t="shared" si="11"/>
        <v>0</v>
      </c>
      <c r="J184" s="205">
        <f t="shared" si="11"/>
        <v>0</v>
      </c>
      <c r="K184" s="205">
        <f t="shared" si="9"/>
        <v>0</v>
      </c>
      <c r="L184" s="203">
        <f t="shared" si="10"/>
        <v>0</v>
      </c>
      <c r="M184" s="203">
        <f t="shared" si="12"/>
        <v>0</v>
      </c>
      <c r="O184" s="208">
        <f t="shared" si="13"/>
        <v>0</v>
      </c>
    </row>
    <row r="185" spans="1:15" ht="12.75" hidden="1" customHeight="1">
      <c r="A185" s="159" t="s">
        <v>413</v>
      </c>
      <c r="B185" s="160" t="s">
        <v>414</v>
      </c>
      <c r="C185" s="158">
        <v>0</v>
      </c>
      <c r="D185" s="142">
        <v>0</v>
      </c>
      <c r="E185" s="142">
        <v>0</v>
      </c>
      <c r="F185" s="143">
        <v>0</v>
      </c>
      <c r="H185" s="209">
        <f t="shared" si="11"/>
        <v>0</v>
      </c>
      <c r="I185" s="205">
        <f t="shared" si="11"/>
        <v>0</v>
      </c>
      <c r="J185" s="205">
        <f t="shared" si="11"/>
        <v>0</v>
      </c>
      <c r="K185" s="205">
        <f t="shared" si="9"/>
        <v>0</v>
      </c>
      <c r="L185" s="203">
        <f t="shared" si="10"/>
        <v>0</v>
      </c>
      <c r="M185" s="203">
        <f t="shared" si="12"/>
        <v>0</v>
      </c>
      <c r="O185" s="208">
        <f t="shared" si="13"/>
        <v>0</v>
      </c>
    </row>
    <row r="186" spans="1:15" ht="12.75" hidden="1" customHeight="1">
      <c r="A186" s="159" t="s">
        <v>415</v>
      </c>
      <c r="B186" s="160" t="s">
        <v>416</v>
      </c>
      <c r="C186" s="158">
        <v>0</v>
      </c>
      <c r="D186" s="142">
        <v>0</v>
      </c>
      <c r="E186" s="142">
        <v>0</v>
      </c>
      <c r="F186" s="143">
        <v>0</v>
      </c>
      <c r="H186" s="209">
        <f t="shared" si="11"/>
        <v>0</v>
      </c>
      <c r="I186" s="205">
        <f t="shared" si="11"/>
        <v>0</v>
      </c>
      <c r="J186" s="205">
        <f t="shared" si="11"/>
        <v>0</v>
      </c>
      <c r="K186" s="205">
        <f t="shared" si="9"/>
        <v>0</v>
      </c>
      <c r="L186" s="203">
        <f t="shared" si="10"/>
        <v>0</v>
      </c>
      <c r="M186" s="203">
        <f t="shared" si="12"/>
        <v>0</v>
      </c>
      <c r="O186" s="208">
        <f t="shared" si="13"/>
        <v>0</v>
      </c>
    </row>
    <row r="187" spans="1:15" ht="12.75" hidden="1" customHeight="1">
      <c r="A187" s="159" t="s">
        <v>417</v>
      </c>
      <c r="B187" s="160" t="s">
        <v>418</v>
      </c>
      <c r="C187" s="158">
        <v>0</v>
      </c>
      <c r="D187" s="142">
        <v>0</v>
      </c>
      <c r="E187" s="142">
        <v>0</v>
      </c>
      <c r="F187" s="143">
        <v>0</v>
      </c>
      <c r="H187" s="209">
        <f t="shared" si="11"/>
        <v>0</v>
      </c>
      <c r="I187" s="205">
        <f t="shared" si="11"/>
        <v>0</v>
      </c>
      <c r="J187" s="205">
        <f t="shared" si="11"/>
        <v>0</v>
      </c>
      <c r="K187" s="205">
        <f t="shared" si="9"/>
        <v>0</v>
      </c>
      <c r="L187" s="203">
        <f t="shared" si="10"/>
        <v>0</v>
      </c>
      <c r="M187" s="203">
        <f t="shared" si="12"/>
        <v>0</v>
      </c>
      <c r="O187" s="208">
        <f t="shared" si="13"/>
        <v>0</v>
      </c>
    </row>
    <row r="188" spans="1:15" ht="12.75" hidden="1" customHeight="1">
      <c r="A188" s="159" t="s">
        <v>419</v>
      </c>
      <c r="B188" s="160" t="s">
        <v>420</v>
      </c>
      <c r="C188" s="158">
        <v>0</v>
      </c>
      <c r="D188" s="142">
        <v>0</v>
      </c>
      <c r="E188" s="142">
        <v>0</v>
      </c>
      <c r="F188" s="143">
        <v>0</v>
      </c>
      <c r="H188" s="209">
        <f t="shared" si="11"/>
        <v>0</v>
      </c>
      <c r="I188" s="205">
        <f t="shared" si="11"/>
        <v>0</v>
      </c>
      <c r="J188" s="205">
        <f t="shared" si="11"/>
        <v>0</v>
      </c>
      <c r="K188" s="205">
        <f t="shared" si="9"/>
        <v>0</v>
      </c>
      <c r="L188" s="203">
        <f t="shared" si="10"/>
        <v>0</v>
      </c>
      <c r="M188" s="203">
        <f t="shared" si="12"/>
        <v>0</v>
      </c>
      <c r="O188" s="208">
        <f t="shared" si="13"/>
        <v>0</v>
      </c>
    </row>
    <row r="189" spans="1:15" ht="12.75" hidden="1" customHeight="1">
      <c r="A189" s="159" t="s">
        <v>421</v>
      </c>
      <c r="B189" s="160" t="s">
        <v>422</v>
      </c>
      <c r="C189" s="158">
        <v>0</v>
      </c>
      <c r="D189" s="142">
        <v>0</v>
      </c>
      <c r="E189" s="142">
        <v>0</v>
      </c>
      <c r="F189" s="143">
        <v>0</v>
      </c>
      <c r="H189" s="209">
        <f t="shared" si="11"/>
        <v>0</v>
      </c>
      <c r="I189" s="205">
        <f t="shared" si="11"/>
        <v>0</v>
      </c>
      <c r="J189" s="205">
        <f t="shared" si="11"/>
        <v>0</v>
      </c>
      <c r="K189" s="205">
        <f t="shared" si="9"/>
        <v>0</v>
      </c>
      <c r="L189" s="203">
        <f t="shared" si="10"/>
        <v>0</v>
      </c>
      <c r="M189" s="203">
        <f t="shared" si="12"/>
        <v>0</v>
      </c>
      <c r="O189" s="208">
        <f t="shared" si="13"/>
        <v>0</v>
      </c>
    </row>
    <row r="190" spans="1:15" ht="12.75" hidden="1" customHeight="1">
      <c r="A190" s="159" t="s">
        <v>423</v>
      </c>
      <c r="B190" s="160" t="s">
        <v>424</v>
      </c>
      <c r="C190" s="158">
        <v>0</v>
      </c>
      <c r="D190" s="142">
        <v>0</v>
      </c>
      <c r="E190" s="142">
        <v>0</v>
      </c>
      <c r="F190" s="143">
        <v>0</v>
      </c>
      <c r="H190" s="209">
        <f t="shared" si="11"/>
        <v>0</v>
      </c>
      <c r="I190" s="205">
        <f t="shared" si="11"/>
        <v>0</v>
      </c>
      <c r="J190" s="205">
        <f t="shared" si="11"/>
        <v>0</v>
      </c>
      <c r="K190" s="205">
        <f t="shared" si="9"/>
        <v>0</v>
      </c>
      <c r="L190" s="203">
        <f t="shared" si="10"/>
        <v>0</v>
      </c>
      <c r="M190" s="203">
        <f t="shared" si="12"/>
        <v>0</v>
      </c>
      <c r="O190" s="208">
        <f t="shared" si="13"/>
        <v>0</v>
      </c>
    </row>
    <row r="191" spans="1:15" ht="12.75" hidden="1" customHeight="1">
      <c r="A191" s="159" t="s">
        <v>425</v>
      </c>
      <c r="B191" s="160" t="s">
        <v>107</v>
      </c>
      <c r="C191" s="158">
        <v>0</v>
      </c>
      <c r="D191" s="142">
        <v>0</v>
      </c>
      <c r="E191" s="142">
        <v>0</v>
      </c>
      <c r="F191" s="143">
        <v>0</v>
      </c>
      <c r="H191" s="209">
        <f t="shared" si="11"/>
        <v>0</v>
      </c>
      <c r="I191" s="205">
        <f t="shared" si="11"/>
        <v>0</v>
      </c>
      <c r="J191" s="205">
        <f t="shared" si="11"/>
        <v>0</v>
      </c>
      <c r="K191" s="205">
        <f t="shared" si="9"/>
        <v>0</v>
      </c>
      <c r="L191" s="203">
        <f t="shared" si="10"/>
        <v>0</v>
      </c>
      <c r="M191" s="203">
        <f t="shared" si="12"/>
        <v>0</v>
      </c>
      <c r="O191" s="208">
        <f t="shared" si="13"/>
        <v>0</v>
      </c>
    </row>
    <row r="192" spans="1:15" ht="12.75" hidden="1" customHeight="1">
      <c r="A192" s="159" t="s">
        <v>426</v>
      </c>
      <c r="B192" s="160" t="s">
        <v>427</v>
      </c>
      <c r="C192" s="158">
        <v>0</v>
      </c>
      <c r="D192" s="142">
        <v>0</v>
      </c>
      <c r="E192" s="142">
        <v>0</v>
      </c>
      <c r="F192" s="143">
        <v>0</v>
      </c>
      <c r="H192" s="205">
        <f t="shared" si="11"/>
        <v>0</v>
      </c>
      <c r="I192" s="205">
        <f t="shared" si="11"/>
        <v>0</v>
      </c>
      <c r="J192" s="205">
        <f t="shared" si="11"/>
        <v>0</v>
      </c>
      <c r="K192" s="205">
        <f t="shared" si="9"/>
        <v>0</v>
      </c>
      <c r="L192" s="203">
        <f t="shared" si="10"/>
        <v>0</v>
      </c>
      <c r="M192" s="203">
        <f t="shared" si="12"/>
        <v>0</v>
      </c>
      <c r="O192" s="208">
        <f t="shared" si="13"/>
        <v>0</v>
      </c>
    </row>
    <row r="193" spans="1:15" s="206" customFormat="1" ht="12.75" hidden="1" customHeight="1">
      <c r="A193" s="159"/>
      <c r="B193" s="160"/>
      <c r="C193" s="141"/>
      <c r="D193" s="142"/>
      <c r="E193" s="142"/>
      <c r="F193" s="143"/>
      <c r="H193" s="207">
        <f t="shared" si="11"/>
        <v>0</v>
      </c>
      <c r="I193" s="207">
        <f t="shared" si="11"/>
        <v>0</v>
      </c>
      <c r="J193" s="207">
        <f t="shared" si="11"/>
        <v>0</v>
      </c>
      <c r="K193" s="207">
        <f t="shared" si="9"/>
        <v>0</v>
      </c>
      <c r="L193" s="213">
        <f t="shared" si="10"/>
        <v>0</v>
      </c>
      <c r="M193" s="213">
        <f t="shared" si="12"/>
        <v>0</v>
      </c>
      <c r="O193" s="208">
        <f t="shared" si="13"/>
        <v>0</v>
      </c>
    </row>
    <row r="194" spans="1:15" ht="12.75" hidden="1" customHeight="1">
      <c r="A194" s="153">
        <v>5.03</v>
      </c>
      <c r="B194" s="154" t="s">
        <v>428</v>
      </c>
      <c r="C194" s="158">
        <v>0</v>
      </c>
      <c r="D194" s="158">
        <v>0</v>
      </c>
      <c r="E194" s="158">
        <v>0</v>
      </c>
      <c r="F194" s="164">
        <v>0</v>
      </c>
      <c r="H194" s="209">
        <f t="shared" si="11"/>
        <v>0</v>
      </c>
      <c r="I194" s="205">
        <f t="shared" si="11"/>
        <v>0</v>
      </c>
      <c r="J194" s="205">
        <f t="shared" si="11"/>
        <v>0</v>
      </c>
      <c r="K194" s="205">
        <f t="shared" si="9"/>
        <v>0</v>
      </c>
      <c r="L194" s="203">
        <f t="shared" si="10"/>
        <v>0</v>
      </c>
      <c r="M194" s="203">
        <f t="shared" si="12"/>
        <v>0</v>
      </c>
      <c r="O194" s="208">
        <f t="shared" si="13"/>
        <v>0</v>
      </c>
    </row>
    <row r="195" spans="1:15" ht="12.75" hidden="1" customHeight="1">
      <c r="A195" s="159" t="s">
        <v>429</v>
      </c>
      <c r="B195" s="160" t="s">
        <v>430</v>
      </c>
      <c r="C195" s="158">
        <v>0</v>
      </c>
      <c r="D195" s="142">
        <v>0</v>
      </c>
      <c r="E195" s="142">
        <v>0</v>
      </c>
      <c r="F195" s="143">
        <v>0</v>
      </c>
      <c r="H195" s="209">
        <f t="shared" si="11"/>
        <v>0</v>
      </c>
      <c r="I195" s="205">
        <f t="shared" si="11"/>
        <v>0</v>
      </c>
      <c r="J195" s="205">
        <f t="shared" si="11"/>
        <v>0</v>
      </c>
      <c r="K195" s="205">
        <f t="shared" si="9"/>
        <v>0</v>
      </c>
      <c r="L195" s="203">
        <f t="shared" si="10"/>
        <v>0</v>
      </c>
      <c r="M195" s="203">
        <f t="shared" si="12"/>
        <v>0</v>
      </c>
      <c r="O195" s="208">
        <f t="shared" si="13"/>
        <v>0</v>
      </c>
    </row>
    <row r="196" spans="1:15" ht="12.75" hidden="1" customHeight="1">
      <c r="A196" s="159" t="s">
        <v>431</v>
      </c>
      <c r="B196" s="160" t="s">
        <v>432</v>
      </c>
      <c r="C196" s="158">
        <v>0</v>
      </c>
      <c r="D196" s="142">
        <v>0</v>
      </c>
      <c r="E196" s="142">
        <v>0</v>
      </c>
      <c r="F196" s="143">
        <v>0</v>
      </c>
      <c r="H196" s="209">
        <f t="shared" si="11"/>
        <v>0</v>
      </c>
      <c r="I196" s="205">
        <f t="shared" si="11"/>
        <v>0</v>
      </c>
      <c r="J196" s="205">
        <f t="shared" si="11"/>
        <v>0</v>
      </c>
      <c r="K196" s="205">
        <f t="shared" si="9"/>
        <v>0</v>
      </c>
      <c r="L196" s="203">
        <f t="shared" si="10"/>
        <v>0</v>
      </c>
      <c r="M196" s="203">
        <f t="shared" si="12"/>
        <v>0</v>
      </c>
      <c r="O196" s="208">
        <f t="shared" si="13"/>
        <v>0</v>
      </c>
    </row>
    <row r="197" spans="1:15" ht="12.75" hidden="1" customHeight="1">
      <c r="A197" s="159" t="s">
        <v>433</v>
      </c>
      <c r="B197" s="160" t="s">
        <v>434</v>
      </c>
      <c r="C197" s="158">
        <v>0</v>
      </c>
      <c r="D197" s="142">
        <v>0</v>
      </c>
      <c r="E197" s="142">
        <v>0</v>
      </c>
      <c r="F197" s="143">
        <v>0</v>
      </c>
      <c r="H197" s="205">
        <f t="shared" si="11"/>
        <v>0</v>
      </c>
      <c r="I197" s="205">
        <f t="shared" si="11"/>
        <v>0</v>
      </c>
      <c r="J197" s="205">
        <f t="shared" si="11"/>
        <v>0</v>
      </c>
      <c r="K197" s="205">
        <f t="shared" si="9"/>
        <v>0</v>
      </c>
      <c r="L197" s="203">
        <f t="shared" si="10"/>
        <v>0</v>
      </c>
      <c r="M197" s="203">
        <f t="shared" si="12"/>
        <v>0</v>
      </c>
      <c r="O197" s="208">
        <f t="shared" si="13"/>
        <v>0</v>
      </c>
    </row>
    <row r="198" spans="1:15" s="206" customFormat="1" ht="12.75" customHeight="1">
      <c r="A198" s="150"/>
      <c r="B198" s="151"/>
      <c r="C198" s="141"/>
      <c r="D198" s="142"/>
      <c r="E198" s="142"/>
      <c r="F198" s="143"/>
      <c r="H198" s="207">
        <f t="shared" si="11"/>
        <v>0</v>
      </c>
      <c r="I198" s="207">
        <f t="shared" si="11"/>
        <v>0</v>
      </c>
      <c r="J198" s="207">
        <f t="shared" si="11"/>
        <v>0</v>
      </c>
      <c r="K198" s="207">
        <f t="shared" si="9"/>
        <v>0</v>
      </c>
      <c r="L198" s="203">
        <f t="shared" si="10"/>
        <v>0</v>
      </c>
      <c r="M198" s="203">
        <f t="shared" si="12"/>
        <v>0</v>
      </c>
      <c r="O198" s="208">
        <f t="shared" si="13"/>
        <v>0</v>
      </c>
    </row>
    <row r="199" spans="1:15" ht="12.75" customHeight="1">
      <c r="A199" s="153" t="s">
        <v>435</v>
      </c>
      <c r="B199" s="154" t="s">
        <v>436</v>
      </c>
      <c r="C199" s="148">
        <v>23500000</v>
      </c>
      <c r="D199" s="148">
        <v>0</v>
      </c>
      <c r="E199" s="148">
        <v>0</v>
      </c>
      <c r="F199" s="149">
        <v>23500000</v>
      </c>
      <c r="H199" s="209">
        <f t="shared" si="11"/>
        <v>23500</v>
      </c>
      <c r="I199" s="205">
        <f t="shared" si="11"/>
        <v>0</v>
      </c>
      <c r="J199" s="205">
        <f t="shared" si="11"/>
        <v>0</v>
      </c>
      <c r="K199" s="205">
        <f t="shared" si="9"/>
        <v>23500</v>
      </c>
      <c r="L199" s="203">
        <f t="shared" si="10"/>
        <v>0</v>
      </c>
      <c r="M199" s="203">
        <f t="shared" si="12"/>
        <v>0</v>
      </c>
      <c r="O199" s="208">
        <f t="shared" si="13"/>
        <v>2.2266943467325169E-2</v>
      </c>
    </row>
    <row r="200" spans="1:15" ht="12.75" hidden="1" customHeight="1">
      <c r="A200" s="159" t="s">
        <v>437</v>
      </c>
      <c r="B200" s="160" t="s">
        <v>438</v>
      </c>
      <c r="C200" s="158">
        <v>0</v>
      </c>
      <c r="D200" s="142">
        <v>0</v>
      </c>
      <c r="E200" s="142">
        <v>0</v>
      </c>
      <c r="F200" s="143">
        <v>0</v>
      </c>
      <c r="H200" s="209">
        <f t="shared" si="11"/>
        <v>0</v>
      </c>
      <c r="I200" s="205">
        <f t="shared" si="11"/>
        <v>0</v>
      </c>
      <c r="J200" s="205">
        <f t="shared" si="11"/>
        <v>0</v>
      </c>
      <c r="K200" s="205">
        <f t="shared" si="9"/>
        <v>0</v>
      </c>
      <c r="L200" s="203">
        <f t="shared" si="10"/>
        <v>0</v>
      </c>
      <c r="M200" s="203">
        <f t="shared" si="12"/>
        <v>0</v>
      </c>
      <c r="O200" s="208">
        <f t="shared" si="13"/>
        <v>0</v>
      </c>
    </row>
    <row r="201" spans="1:15" ht="12.75" hidden="1" customHeight="1">
      <c r="A201" s="150" t="s">
        <v>439</v>
      </c>
      <c r="B201" s="151" t="s">
        <v>440</v>
      </c>
      <c r="C201" s="158">
        <v>0</v>
      </c>
      <c r="D201" s="142">
        <v>0</v>
      </c>
      <c r="E201" s="142">
        <v>0</v>
      </c>
      <c r="F201" s="143">
        <v>0</v>
      </c>
      <c r="H201" s="209">
        <f t="shared" si="11"/>
        <v>0</v>
      </c>
      <c r="I201" s="205">
        <f t="shared" si="11"/>
        <v>0</v>
      </c>
      <c r="J201" s="205">
        <f t="shared" si="11"/>
        <v>0</v>
      </c>
      <c r="K201" s="205">
        <f t="shared" si="11"/>
        <v>0</v>
      </c>
      <c r="L201" s="203">
        <f t="shared" ref="L201:L256" si="14">SUM(I201:K201)-H201</f>
        <v>0</v>
      </c>
      <c r="M201" s="203">
        <f t="shared" si="12"/>
        <v>0</v>
      </c>
      <c r="O201" s="208">
        <f t="shared" si="13"/>
        <v>0</v>
      </c>
    </row>
    <row r="202" spans="1:15" ht="12.75" customHeight="1">
      <c r="A202" s="159" t="s">
        <v>441</v>
      </c>
      <c r="B202" s="160" t="s">
        <v>442</v>
      </c>
      <c r="C202" s="158">
        <v>23500000</v>
      </c>
      <c r="D202" s="142">
        <v>0</v>
      </c>
      <c r="E202" s="142">
        <v>0</v>
      </c>
      <c r="F202" s="143">
        <v>23500000</v>
      </c>
      <c r="H202" s="209">
        <f t="shared" ref="H202:K256" si="15">+C202/1000</f>
        <v>23500</v>
      </c>
      <c r="I202" s="205">
        <f t="shared" si="15"/>
        <v>0</v>
      </c>
      <c r="J202" s="205">
        <f t="shared" si="15"/>
        <v>0</v>
      </c>
      <c r="K202" s="205">
        <f t="shared" si="15"/>
        <v>23500</v>
      </c>
      <c r="L202" s="203">
        <f t="shared" si="14"/>
        <v>0</v>
      </c>
      <c r="M202" s="203">
        <f t="shared" si="12"/>
        <v>0</v>
      </c>
      <c r="O202" s="208">
        <f t="shared" si="13"/>
        <v>2.2266943467325169E-2</v>
      </c>
    </row>
    <row r="203" spans="1:15" hidden="1">
      <c r="A203" s="150" t="s">
        <v>443</v>
      </c>
      <c r="B203" s="151" t="s">
        <v>444</v>
      </c>
      <c r="C203" s="158">
        <v>0</v>
      </c>
      <c r="D203" s="142">
        <v>0</v>
      </c>
      <c r="E203" s="142">
        <v>0</v>
      </c>
      <c r="F203" s="143">
        <v>0</v>
      </c>
      <c r="H203" s="205">
        <f t="shared" si="15"/>
        <v>0</v>
      </c>
      <c r="I203" s="205">
        <f t="shared" si="15"/>
        <v>0</v>
      </c>
      <c r="J203" s="205">
        <f t="shared" si="15"/>
        <v>0</v>
      </c>
      <c r="K203" s="205">
        <f t="shared" si="15"/>
        <v>0</v>
      </c>
      <c r="L203" s="203">
        <f t="shared" si="14"/>
        <v>0</v>
      </c>
      <c r="M203" s="203">
        <f t="shared" ref="M203:M256" si="16">+H204-C204/1000</f>
        <v>0</v>
      </c>
      <c r="O203" s="208">
        <f t="shared" si="13"/>
        <v>0</v>
      </c>
    </row>
    <row r="204" spans="1:15" s="206" customFormat="1">
      <c r="A204" s="150"/>
      <c r="B204" s="151"/>
      <c r="C204" s="141"/>
      <c r="D204" s="142"/>
      <c r="E204" s="142"/>
      <c r="F204" s="143"/>
      <c r="H204" s="207">
        <f t="shared" si="15"/>
        <v>0</v>
      </c>
      <c r="I204" s="207">
        <f t="shared" si="15"/>
        <v>0</v>
      </c>
      <c r="J204" s="207">
        <f t="shared" si="15"/>
        <v>0</v>
      </c>
      <c r="K204" s="207">
        <f t="shared" si="15"/>
        <v>0</v>
      </c>
      <c r="L204" s="203">
        <f t="shared" si="14"/>
        <v>0</v>
      </c>
      <c r="M204" s="203">
        <f t="shared" si="16"/>
        <v>0</v>
      </c>
      <c r="O204" s="208">
        <f t="shared" si="13"/>
        <v>0</v>
      </c>
    </row>
    <row r="205" spans="1:15" ht="13.5" customHeight="1">
      <c r="A205" s="153">
        <v>6</v>
      </c>
      <c r="B205" s="154" t="s">
        <v>67</v>
      </c>
      <c r="C205" s="148">
        <v>1198400</v>
      </c>
      <c r="D205" s="148">
        <v>0</v>
      </c>
      <c r="E205" s="148">
        <v>1198400</v>
      </c>
      <c r="F205" s="149">
        <v>0</v>
      </c>
      <c r="H205" s="205">
        <f t="shared" si="15"/>
        <v>1198.4000000000001</v>
      </c>
      <c r="I205" s="205">
        <f t="shared" si="15"/>
        <v>0</v>
      </c>
      <c r="J205" s="205">
        <f t="shared" si="15"/>
        <v>1198.4000000000001</v>
      </c>
      <c r="K205" s="205">
        <f t="shared" si="15"/>
        <v>0</v>
      </c>
      <c r="L205" s="203">
        <f t="shared" si="14"/>
        <v>0</v>
      </c>
      <c r="M205" s="203">
        <f t="shared" si="16"/>
        <v>0</v>
      </c>
      <c r="O205" s="208">
        <f t="shared" ref="O205:O257" si="17">C205/$C$9</f>
        <v>1.1355193638826588E-3</v>
      </c>
    </row>
    <row r="206" spans="1:15" s="206" customFormat="1" ht="16.5" customHeight="1">
      <c r="A206" s="150"/>
      <c r="B206" s="151"/>
      <c r="C206" s="141"/>
      <c r="D206" s="142"/>
      <c r="E206" s="142"/>
      <c r="F206" s="143"/>
      <c r="H206" s="207">
        <f t="shared" si="15"/>
        <v>0</v>
      </c>
      <c r="I206" s="207">
        <f t="shared" si="15"/>
        <v>0</v>
      </c>
      <c r="J206" s="207">
        <f t="shared" si="15"/>
        <v>0</v>
      </c>
      <c r="K206" s="207">
        <f t="shared" si="15"/>
        <v>0</v>
      </c>
      <c r="L206" s="203">
        <f t="shared" si="14"/>
        <v>0</v>
      </c>
      <c r="M206" s="203">
        <f t="shared" si="16"/>
        <v>0</v>
      </c>
      <c r="O206" s="208">
        <f t="shared" si="17"/>
        <v>0</v>
      </c>
    </row>
    <row r="207" spans="1:15" ht="12.75" hidden="1" customHeight="1">
      <c r="A207" s="153" t="s">
        <v>445</v>
      </c>
      <c r="B207" s="154" t="s">
        <v>446</v>
      </c>
      <c r="C207" s="158">
        <v>0</v>
      </c>
      <c r="D207" s="158">
        <v>0</v>
      </c>
      <c r="E207" s="158">
        <v>0</v>
      </c>
      <c r="F207" s="164">
        <v>0</v>
      </c>
      <c r="H207" s="209">
        <f t="shared" si="15"/>
        <v>0</v>
      </c>
      <c r="I207" s="205">
        <f t="shared" si="15"/>
        <v>0</v>
      </c>
      <c r="J207" s="205">
        <f t="shared" si="15"/>
        <v>0</v>
      </c>
      <c r="K207" s="205">
        <f t="shared" si="15"/>
        <v>0</v>
      </c>
      <c r="L207" s="203">
        <f t="shared" si="14"/>
        <v>0</v>
      </c>
      <c r="M207" s="203">
        <f t="shared" si="16"/>
        <v>0</v>
      </c>
      <c r="O207" s="208">
        <f t="shared" si="17"/>
        <v>0</v>
      </c>
    </row>
    <row r="208" spans="1:15" ht="12.75" hidden="1" customHeight="1">
      <c r="A208" s="159" t="s">
        <v>447</v>
      </c>
      <c r="B208" s="160" t="s">
        <v>448</v>
      </c>
      <c r="C208" s="158">
        <v>0</v>
      </c>
      <c r="D208" s="142">
        <v>0</v>
      </c>
      <c r="E208" s="142">
        <v>0</v>
      </c>
      <c r="F208" s="143">
        <v>0</v>
      </c>
      <c r="H208" s="209">
        <f t="shared" si="15"/>
        <v>0</v>
      </c>
      <c r="I208" s="205">
        <f t="shared" si="15"/>
        <v>0</v>
      </c>
      <c r="J208" s="205">
        <f t="shared" si="15"/>
        <v>0</v>
      </c>
      <c r="K208" s="205">
        <f t="shared" si="15"/>
        <v>0</v>
      </c>
      <c r="L208" s="203">
        <f t="shared" si="14"/>
        <v>0</v>
      </c>
      <c r="M208" s="203">
        <f t="shared" si="16"/>
        <v>0</v>
      </c>
      <c r="O208" s="208">
        <f t="shared" si="17"/>
        <v>0</v>
      </c>
    </row>
    <row r="209" spans="1:15" ht="12.75" hidden="1" customHeight="1">
      <c r="A209" s="150" t="s">
        <v>449</v>
      </c>
      <c r="B209" s="151" t="s">
        <v>450</v>
      </c>
      <c r="C209" s="158">
        <v>0</v>
      </c>
      <c r="D209" s="142">
        <v>0</v>
      </c>
      <c r="E209" s="142">
        <v>0</v>
      </c>
      <c r="F209" s="143">
        <v>0</v>
      </c>
      <c r="H209" s="209">
        <f t="shared" si="15"/>
        <v>0</v>
      </c>
      <c r="I209" s="205">
        <f t="shared" si="15"/>
        <v>0</v>
      </c>
      <c r="J209" s="205">
        <f t="shared" si="15"/>
        <v>0</v>
      </c>
      <c r="K209" s="205">
        <f t="shared" si="15"/>
        <v>0</v>
      </c>
      <c r="L209" s="203">
        <f t="shared" si="14"/>
        <v>0</v>
      </c>
      <c r="M209" s="203">
        <f t="shared" si="16"/>
        <v>0</v>
      </c>
      <c r="O209" s="208">
        <f t="shared" si="17"/>
        <v>0</v>
      </c>
    </row>
    <row r="210" spans="1:15" ht="12.75" hidden="1" customHeight="1">
      <c r="A210" s="150" t="s">
        <v>451</v>
      </c>
      <c r="B210" s="151" t="s">
        <v>452</v>
      </c>
      <c r="C210" s="158">
        <v>0</v>
      </c>
      <c r="D210" s="142">
        <v>0</v>
      </c>
      <c r="E210" s="142">
        <v>0</v>
      </c>
      <c r="F210" s="143">
        <v>0</v>
      </c>
      <c r="H210" s="209">
        <f t="shared" si="15"/>
        <v>0</v>
      </c>
      <c r="I210" s="205">
        <f t="shared" si="15"/>
        <v>0</v>
      </c>
      <c r="J210" s="205">
        <f t="shared" si="15"/>
        <v>0</v>
      </c>
      <c r="K210" s="205">
        <f t="shared" si="15"/>
        <v>0</v>
      </c>
      <c r="L210" s="203">
        <f t="shared" si="14"/>
        <v>0</v>
      </c>
      <c r="M210" s="203">
        <f t="shared" si="16"/>
        <v>0</v>
      </c>
      <c r="O210" s="208">
        <f t="shared" si="17"/>
        <v>0</v>
      </c>
    </row>
    <row r="211" spans="1:15" ht="12.75" hidden="1" customHeight="1">
      <c r="A211" s="159" t="s">
        <v>453</v>
      </c>
      <c r="B211" s="160" t="s">
        <v>454</v>
      </c>
      <c r="C211" s="158">
        <v>0</v>
      </c>
      <c r="D211" s="142">
        <v>0</v>
      </c>
      <c r="E211" s="142">
        <v>0</v>
      </c>
      <c r="F211" s="143">
        <v>0</v>
      </c>
      <c r="H211" s="209">
        <f t="shared" si="15"/>
        <v>0</v>
      </c>
      <c r="I211" s="205">
        <f t="shared" si="15"/>
        <v>0</v>
      </c>
      <c r="J211" s="205">
        <f t="shared" si="15"/>
        <v>0</v>
      </c>
      <c r="K211" s="205">
        <f t="shared" si="15"/>
        <v>0</v>
      </c>
      <c r="L211" s="203">
        <f t="shared" si="14"/>
        <v>0</v>
      </c>
      <c r="M211" s="203">
        <f t="shared" si="16"/>
        <v>0</v>
      </c>
      <c r="O211" s="208">
        <f t="shared" si="17"/>
        <v>0</v>
      </c>
    </row>
    <row r="212" spans="1:15" ht="12.75" hidden="1" customHeight="1">
      <c r="A212" s="159" t="s">
        <v>455</v>
      </c>
      <c r="B212" s="160" t="s">
        <v>456</v>
      </c>
      <c r="C212" s="158">
        <v>0</v>
      </c>
      <c r="D212" s="142">
        <v>0</v>
      </c>
      <c r="E212" s="142">
        <v>0</v>
      </c>
      <c r="F212" s="143">
        <v>0</v>
      </c>
      <c r="H212" s="209">
        <f t="shared" si="15"/>
        <v>0</v>
      </c>
      <c r="I212" s="205">
        <f t="shared" si="15"/>
        <v>0</v>
      </c>
      <c r="J212" s="205">
        <f t="shared" si="15"/>
        <v>0</v>
      </c>
      <c r="K212" s="205">
        <f t="shared" si="15"/>
        <v>0</v>
      </c>
      <c r="L212" s="203">
        <f t="shared" si="14"/>
        <v>0</v>
      </c>
      <c r="M212" s="203">
        <f t="shared" si="16"/>
        <v>0</v>
      </c>
      <c r="O212" s="208">
        <f t="shared" si="17"/>
        <v>0</v>
      </c>
    </row>
    <row r="213" spans="1:15" ht="12.75" hidden="1" customHeight="1">
      <c r="A213" s="159" t="s">
        <v>457</v>
      </c>
      <c r="B213" s="160" t="s">
        <v>458</v>
      </c>
      <c r="C213" s="158">
        <v>0</v>
      </c>
      <c r="D213" s="142">
        <v>0</v>
      </c>
      <c r="E213" s="142">
        <v>0</v>
      </c>
      <c r="F213" s="143">
        <v>0</v>
      </c>
      <c r="H213" s="209">
        <f t="shared" si="15"/>
        <v>0</v>
      </c>
      <c r="I213" s="205">
        <f t="shared" si="15"/>
        <v>0</v>
      </c>
      <c r="J213" s="205">
        <f t="shared" si="15"/>
        <v>0</v>
      </c>
      <c r="K213" s="205">
        <f t="shared" si="15"/>
        <v>0</v>
      </c>
      <c r="L213" s="203">
        <f t="shared" si="14"/>
        <v>0</v>
      </c>
      <c r="M213" s="203">
        <f t="shared" si="16"/>
        <v>0</v>
      </c>
      <c r="O213" s="208">
        <f t="shared" si="17"/>
        <v>0</v>
      </c>
    </row>
    <row r="214" spans="1:15" ht="12.75" hidden="1" customHeight="1">
      <c r="A214" s="159" t="s">
        <v>459</v>
      </c>
      <c r="B214" s="160" t="s">
        <v>460</v>
      </c>
      <c r="C214" s="158">
        <v>0</v>
      </c>
      <c r="D214" s="142">
        <v>0</v>
      </c>
      <c r="E214" s="142">
        <v>0</v>
      </c>
      <c r="F214" s="143">
        <v>0</v>
      </c>
      <c r="H214" s="209">
        <f t="shared" si="15"/>
        <v>0</v>
      </c>
      <c r="I214" s="205">
        <f t="shared" si="15"/>
        <v>0</v>
      </c>
      <c r="J214" s="205">
        <f t="shared" si="15"/>
        <v>0</v>
      </c>
      <c r="K214" s="205">
        <f t="shared" si="15"/>
        <v>0</v>
      </c>
      <c r="L214" s="203">
        <f t="shared" si="14"/>
        <v>0</v>
      </c>
      <c r="M214" s="203">
        <f t="shared" si="16"/>
        <v>0</v>
      </c>
      <c r="O214" s="208">
        <f t="shared" si="17"/>
        <v>0</v>
      </c>
    </row>
    <row r="215" spans="1:15" ht="12.75" hidden="1" customHeight="1">
      <c r="A215" s="159" t="s">
        <v>461</v>
      </c>
      <c r="B215" s="160" t="s">
        <v>462</v>
      </c>
      <c r="C215" s="158">
        <v>0</v>
      </c>
      <c r="D215" s="142">
        <v>0</v>
      </c>
      <c r="E215" s="142">
        <v>0</v>
      </c>
      <c r="F215" s="143">
        <v>0</v>
      </c>
      <c r="H215" s="214">
        <f t="shared" si="15"/>
        <v>0</v>
      </c>
      <c r="I215" s="205">
        <f t="shared" si="15"/>
        <v>0</v>
      </c>
      <c r="J215" s="205">
        <f t="shared" si="15"/>
        <v>0</v>
      </c>
      <c r="K215" s="205">
        <f t="shared" si="15"/>
        <v>0</v>
      </c>
      <c r="L215" s="203">
        <f t="shared" si="14"/>
        <v>0</v>
      </c>
      <c r="M215" s="203">
        <f t="shared" si="16"/>
        <v>0</v>
      </c>
      <c r="O215" s="208">
        <f t="shared" si="17"/>
        <v>0</v>
      </c>
    </row>
    <row r="216" spans="1:15" ht="12.75" hidden="1" customHeight="1">
      <c r="A216" s="159" t="s">
        <v>463</v>
      </c>
      <c r="B216" s="160" t="s">
        <v>464</v>
      </c>
      <c r="C216" s="158">
        <v>0</v>
      </c>
      <c r="D216" s="142">
        <v>0</v>
      </c>
      <c r="E216" s="142">
        <v>0</v>
      </c>
      <c r="F216" s="143">
        <v>0</v>
      </c>
      <c r="H216" s="205">
        <f t="shared" si="15"/>
        <v>0</v>
      </c>
      <c r="I216" s="205">
        <f t="shared" si="15"/>
        <v>0</v>
      </c>
      <c r="J216" s="205">
        <f t="shared" si="15"/>
        <v>0</v>
      </c>
      <c r="K216" s="205">
        <f t="shared" si="15"/>
        <v>0</v>
      </c>
      <c r="L216" s="203">
        <f t="shared" si="14"/>
        <v>0</v>
      </c>
      <c r="M216" s="203">
        <f t="shared" si="16"/>
        <v>0</v>
      </c>
      <c r="O216" s="208">
        <f t="shared" si="17"/>
        <v>0</v>
      </c>
    </row>
    <row r="217" spans="1:15" s="206" customFormat="1" ht="12.75" hidden="1" customHeight="1">
      <c r="A217" s="150"/>
      <c r="B217" s="151"/>
      <c r="C217" s="141"/>
      <c r="D217" s="142"/>
      <c r="E217" s="142"/>
      <c r="F217" s="143"/>
      <c r="H217" s="207">
        <f t="shared" si="15"/>
        <v>0</v>
      </c>
      <c r="I217" s="207">
        <f t="shared" si="15"/>
        <v>0</v>
      </c>
      <c r="J217" s="207">
        <f t="shared" si="15"/>
        <v>0</v>
      </c>
      <c r="K217" s="207">
        <f t="shared" si="15"/>
        <v>0</v>
      </c>
      <c r="L217" s="213">
        <f t="shared" si="14"/>
        <v>0</v>
      </c>
      <c r="M217" s="213">
        <f t="shared" si="16"/>
        <v>0</v>
      </c>
      <c r="O217" s="208">
        <f t="shared" si="17"/>
        <v>0</v>
      </c>
    </row>
    <row r="218" spans="1:15" ht="12.75" customHeight="1">
      <c r="A218" s="153">
        <v>6.02</v>
      </c>
      <c r="B218" s="154" t="s">
        <v>465</v>
      </c>
      <c r="C218" s="148">
        <v>350000</v>
      </c>
      <c r="D218" s="148">
        <v>0</v>
      </c>
      <c r="E218" s="148">
        <v>350000</v>
      </c>
      <c r="F218" s="149">
        <v>0</v>
      </c>
      <c r="H218" s="209">
        <f t="shared" si="15"/>
        <v>350</v>
      </c>
      <c r="I218" s="205">
        <f t="shared" si="15"/>
        <v>0</v>
      </c>
      <c r="J218" s="205">
        <f t="shared" si="15"/>
        <v>350</v>
      </c>
      <c r="K218" s="205">
        <f t="shared" si="15"/>
        <v>0</v>
      </c>
      <c r="L218" s="203">
        <f t="shared" si="14"/>
        <v>0</v>
      </c>
      <c r="M218" s="203">
        <f t="shared" si="16"/>
        <v>0</v>
      </c>
      <c r="O218" s="208">
        <f t="shared" si="17"/>
        <v>3.3163532823675781E-4</v>
      </c>
    </row>
    <row r="219" spans="1:15" ht="12.75" hidden="1" customHeight="1">
      <c r="A219" s="159" t="s">
        <v>466</v>
      </c>
      <c r="B219" s="160" t="s">
        <v>467</v>
      </c>
      <c r="C219" s="158">
        <v>0</v>
      </c>
      <c r="D219" s="142">
        <v>0</v>
      </c>
      <c r="E219" s="142">
        <v>0</v>
      </c>
      <c r="F219" s="143">
        <v>0</v>
      </c>
      <c r="H219" s="209">
        <f t="shared" si="15"/>
        <v>0</v>
      </c>
      <c r="I219" s="205">
        <f t="shared" si="15"/>
        <v>0</v>
      </c>
      <c r="J219" s="205">
        <f t="shared" si="15"/>
        <v>0</v>
      </c>
      <c r="K219" s="205">
        <f t="shared" si="15"/>
        <v>0</v>
      </c>
      <c r="L219" s="203">
        <f t="shared" si="14"/>
        <v>0</v>
      </c>
      <c r="M219" s="203">
        <f t="shared" si="16"/>
        <v>0</v>
      </c>
      <c r="O219" s="208">
        <f t="shared" si="17"/>
        <v>0</v>
      </c>
    </row>
    <row r="220" spans="1:15" ht="12.75" hidden="1" customHeight="1">
      <c r="A220" s="159" t="s">
        <v>468</v>
      </c>
      <c r="B220" s="160" t="s">
        <v>469</v>
      </c>
      <c r="C220" s="158">
        <v>0</v>
      </c>
      <c r="D220" s="142">
        <v>0</v>
      </c>
      <c r="E220" s="142">
        <v>0</v>
      </c>
      <c r="F220" s="143">
        <v>0</v>
      </c>
      <c r="H220" s="209">
        <f t="shared" si="15"/>
        <v>0</v>
      </c>
      <c r="I220" s="205">
        <f t="shared" si="15"/>
        <v>0</v>
      </c>
      <c r="J220" s="205">
        <f t="shared" si="15"/>
        <v>0</v>
      </c>
      <c r="K220" s="205">
        <f t="shared" si="15"/>
        <v>0</v>
      </c>
      <c r="L220" s="203">
        <f t="shared" si="14"/>
        <v>0</v>
      </c>
      <c r="M220" s="203">
        <f t="shared" si="16"/>
        <v>0</v>
      </c>
      <c r="O220" s="208">
        <f t="shared" si="17"/>
        <v>0</v>
      </c>
    </row>
    <row r="221" spans="1:15" ht="12.75" hidden="1" customHeight="1">
      <c r="A221" s="159" t="s">
        <v>470</v>
      </c>
      <c r="B221" s="160" t="s">
        <v>471</v>
      </c>
      <c r="C221" s="158">
        <v>0</v>
      </c>
      <c r="D221" s="142">
        <v>0</v>
      </c>
      <c r="E221" s="142">
        <v>0</v>
      </c>
      <c r="F221" s="143">
        <v>0</v>
      </c>
      <c r="H221" s="209">
        <f t="shared" si="15"/>
        <v>0</v>
      </c>
      <c r="I221" s="205">
        <f t="shared" si="15"/>
        <v>0</v>
      </c>
      <c r="J221" s="205">
        <f t="shared" si="15"/>
        <v>0</v>
      </c>
      <c r="K221" s="205">
        <f t="shared" si="15"/>
        <v>0</v>
      </c>
      <c r="L221" s="203">
        <f t="shared" si="14"/>
        <v>0</v>
      </c>
      <c r="M221" s="203">
        <f t="shared" si="16"/>
        <v>0</v>
      </c>
      <c r="O221" s="208">
        <f t="shared" si="17"/>
        <v>0</v>
      </c>
    </row>
    <row r="222" spans="1:15" ht="12.75" customHeight="1">
      <c r="A222" s="215" t="s">
        <v>472</v>
      </c>
      <c r="B222" s="216" t="s">
        <v>473</v>
      </c>
      <c r="C222" s="217">
        <v>350000</v>
      </c>
      <c r="D222" s="218">
        <v>0</v>
      </c>
      <c r="E222" s="218">
        <v>350000</v>
      </c>
      <c r="F222" s="219">
        <v>0</v>
      </c>
      <c r="H222" s="205">
        <f t="shared" si="15"/>
        <v>350</v>
      </c>
      <c r="I222" s="205">
        <f t="shared" si="15"/>
        <v>0</v>
      </c>
      <c r="J222" s="205">
        <f t="shared" si="15"/>
        <v>350</v>
      </c>
      <c r="K222" s="205">
        <f t="shared" si="15"/>
        <v>0</v>
      </c>
      <c r="L222" s="203">
        <f t="shared" si="14"/>
        <v>0</v>
      </c>
      <c r="M222" s="203">
        <f t="shared" si="16"/>
        <v>0</v>
      </c>
      <c r="O222" s="208">
        <f t="shared" si="17"/>
        <v>3.3163532823675781E-4</v>
      </c>
    </row>
    <row r="223" spans="1:15" s="206" customFormat="1" ht="12.75" customHeight="1">
      <c r="A223" s="159"/>
      <c r="B223" s="160"/>
      <c r="C223" s="141"/>
      <c r="D223" s="142"/>
      <c r="E223" s="142"/>
      <c r="F223" s="143"/>
      <c r="H223" s="207">
        <f t="shared" si="15"/>
        <v>0</v>
      </c>
      <c r="I223" s="207">
        <f t="shared" si="15"/>
        <v>0</v>
      </c>
      <c r="J223" s="207">
        <f t="shared" si="15"/>
        <v>0</v>
      </c>
      <c r="K223" s="207">
        <f t="shared" si="15"/>
        <v>0</v>
      </c>
      <c r="L223" s="213">
        <f t="shared" si="14"/>
        <v>0</v>
      </c>
      <c r="M223" s="213">
        <f t="shared" si="16"/>
        <v>0</v>
      </c>
      <c r="O223" s="208">
        <f t="shared" si="17"/>
        <v>0</v>
      </c>
    </row>
    <row r="224" spans="1:15" ht="12.75" hidden="1" customHeight="1">
      <c r="A224" s="153">
        <v>6.03</v>
      </c>
      <c r="B224" s="154" t="s">
        <v>474</v>
      </c>
      <c r="C224" s="158">
        <v>0</v>
      </c>
      <c r="D224" s="158">
        <v>0</v>
      </c>
      <c r="E224" s="158">
        <v>0</v>
      </c>
      <c r="F224" s="164">
        <v>0</v>
      </c>
      <c r="H224" s="209">
        <f t="shared" si="15"/>
        <v>0</v>
      </c>
      <c r="I224" s="205">
        <f t="shared" si="15"/>
        <v>0</v>
      </c>
      <c r="J224" s="205">
        <f t="shared" si="15"/>
        <v>0</v>
      </c>
      <c r="K224" s="205">
        <f t="shared" si="15"/>
        <v>0</v>
      </c>
      <c r="L224" s="203">
        <f t="shared" si="14"/>
        <v>0</v>
      </c>
      <c r="M224" s="203">
        <f t="shared" si="16"/>
        <v>0</v>
      </c>
      <c r="O224" s="208">
        <f t="shared" si="17"/>
        <v>0</v>
      </c>
    </row>
    <row r="225" spans="1:15" ht="12.75" hidden="1" customHeight="1">
      <c r="A225" s="159" t="s">
        <v>475</v>
      </c>
      <c r="B225" s="160" t="s">
        <v>476</v>
      </c>
      <c r="C225" s="158">
        <v>0</v>
      </c>
      <c r="D225" s="142">
        <v>0</v>
      </c>
      <c r="E225" s="142">
        <v>0</v>
      </c>
      <c r="F225" s="143">
        <v>0</v>
      </c>
      <c r="H225" s="209">
        <f t="shared" si="15"/>
        <v>0</v>
      </c>
      <c r="I225" s="205">
        <f t="shared" si="15"/>
        <v>0</v>
      </c>
      <c r="J225" s="205">
        <f t="shared" si="15"/>
        <v>0</v>
      </c>
      <c r="K225" s="205">
        <f t="shared" si="15"/>
        <v>0</v>
      </c>
      <c r="L225" s="203">
        <f t="shared" si="14"/>
        <v>0</v>
      </c>
      <c r="M225" s="203">
        <f t="shared" si="16"/>
        <v>0</v>
      </c>
      <c r="O225" s="208">
        <f t="shared" si="17"/>
        <v>0</v>
      </c>
    </row>
    <row r="226" spans="1:15" ht="12.75" hidden="1" customHeight="1">
      <c r="A226" s="159" t="s">
        <v>477</v>
      </c>
      <c r="B226" s="160" t="s">
        <v>478</v>
      </c>
      <c r="C226" s="158">
        <v>0</v>
      </c>
      <c r="D226" s="142">
        <v>0</v>
      </c>
      <c r="E226" s="142">
        <v>0</v>
      </c>
      <c r="F226" s="143">
        <v>0</v>
      </c>
      <c r="H226" s="209">
        <f t="shared" si="15"/>
        <v>0</v>
      </c>
      <c r="I226" s="205">
        <f t="shared" si="15"/>
        <v>0</v>
      </c>
      <c r="J226" s="205">
        <f t="shared" si="15"/>
        <v>0</v>
      </c>
      <c r="K226" s="205">
        <f t="shared" si="15"/>
        <v>0</v>
      </c>
      <c r="L226" s="203">
        <f t="shared" si="14"/>
        <v>0</v>
      </c>
      <c r="M226" s="203">
        <f t="shared" si="16"/>
        <v>0</v>
      </c>
      <c r="O226" s="208">
        <f t="shared" si="17"/>
        <v>0</v>
      </c>
    </row>
    <row r="227" spans="1:15" ht="12.75" hidden="1" customHeight="1">
      <c r="A227" s="159" t="s">
        <v>479</v>
      </c>
      <c r="B227" s="160" t="s">
        <v>480</v>
      </c>
      <c r="C227" s="158">
        <v>0</v>
      </c>
      <c r="D227" s="142">
        <v>0</v>
      </c>
      <c r="E227" s="142">
        <v>0</v>
      </c>
      <c r="F227" s="143">
        <v>0</v>
      </c>
      <c r="H227" s="209">
        <f t="shared" si="15"/>
        <v>0</v>
      </c>
      <c r="I227" s="205">
        <f t="shared" si="15"/>
        <v>0</v>
      </c>
      <c r="J227" s="205">
        <f t="shared" si="15"/>
        <v>0</v>
      </c>
      <c r="K227" s="205">
        <f t="shared" si="15"/>
        <v>0</v>
      </c>
      <c r="L227" s="203">
        <f t="shared" si="14"/>
        <v>0</v>
      </c>
      <c r="M227" s="203">
        <f t="shared" si="16"/>
        <v>0</v>
      </c>
      <c r="O227" s="208">
        <f t="shared" si="17"/>
        <v>0</v>
      </c>
    </row>
    <row r="228" spans="1:15" ht="12.75" hidden="1" customHeight="1">
      <c r="A228" s="159" t="s">
        <v>481</v>
      </c>
      <c r="B228" s="160" t="s">
        <v>482</v>
      </c>
      <c r="C228" s="158">
        <v>0</v>
      </c>
      <c r="D228" s="142">
        <v>0</v>
      </c>
      <c r="E228" s="142">
        <v>0</v>
      </c>
      <c r="F228" s="143">
        <v>0</v>
      </c>
      <c r="H228" s="209">
        <f t="shared" si="15"/>
        <v>0</v>
      </c>
      <c r="I228" s="205">
        <f t="shared" si="15"/>
        <v>0</v>
      </c>
      <c r="J228" s="205">
        <f t="shared" si="15"/>
        <v>0</v>
      </c>
      <c r="K228" s="205">
        <f t="shared" si="15"/>
        <v>0</v>
      </c>
      <c r="L228" s="203">
        <f t="shared" si="14"/>
        <v>0</v>
      </c>
      <c r="M228" s="203">
        <f t="shared" si="16"/>
        <v>0</v>
      </c>
      <c r="O228" s="208">
        <f t="shared" si="17"/>
        <v>0</v>
      </c>
    </row>
    <row r="229" spans="1:15" ht="12.75" hidden="1" customHeight="1">
      <c r="A229" s="150"/>
      <c r="B229" s="151"/>
      <c r="C229" s="158">
        <v>0</v>
      </c>
      <c r="D229" s="142">
        <v>0</v>
      </c>
      <c r="E229" s="142">
        <v>0</v>
      </c>
      <c r="F229" s="143">
        <v>0</v>
      </c>
      <c r="H229" s="209">
        <f t="shared" si="15"/>
        <v>0</v>
      </c>
      <c r="I229" s="205">
        <f t="shared" si="15"/>
        <v>0</v>
      </c>
      <c r="J229" s="205">
        <f t="shared" si="15"/>
        <v>0</v>
      </c>
      <c r="K229" s="205">
        <f t="shared" si="15"/>
        <v>0</v>
      </c>
      <c r="L229" s="203">
        <f t="shared" si="14"/>
        <v>0</v>
      </c>
      <c r="M229" s="203">
        <f t="shared" si="16"/>
        <v>0</v>
      </c>
      <c r="O229" s="208">
        <f t="shared" si="17"/>
        <v>0</v>
      </c>
    </row>
    <row r="230" spans="1:15" ht="12.75" hidden="1" customHeight="1">
      <c r="A230" s="159" t="s">
        <v>483</v>
      </c>
      <c r="B230" s="160" t="s">
        <v>484</v>
      </c>
      <c r="C230" s="158">
        <v>0</v>
      </c>
      <c r="D230" s="142">
        <v>0</v>
      </c>
      <c r="E230" s="142">
        <v>0</v>
      </c>
      <c r="F230" s="143">
        <v>0</v>
      </c>
      <c r="H230" s="205">
        <f t="shared" si="15"/>
        <v>0</v>
      </c>
      <c r="I230" s="205">
        <f t="shared" si="15"/>
        <v>0</v>
      </c>
      <c r="J230" s="205">
        <f t="shared" si="15"/>
        <v>0</v>
      </c>
      <c r="K230" s="205">
        <f t="shared" si="15"/>
        <v>0</v>
      </c>
      <c r="L230" s="203">
        <f t="shared" si="14"/>
        <v>0</v>
      </c>
      <c r="M230" s="203">
        <f t="shared" si="16"/>
        <v>0</v>
      </c>
      <c r="O230" s="208">
        <f t="shared" si="17"/>
        <v>0</v>
      </c>
    </row>
    <row r="231" spans="1:15" s="206" customFormat="1" ht="12.75" hidden="1" customHeight="1">
      <c r="A231" s="159"/>
      <c r="B231" s="160"/>
      <c r="C231" s="141"/>
      <c r="D231" s="142"/>
      <c r="E231" s="142"/>
      <c r="F231" s="143"/>
      <c r="H231" s="207">
        <f t="shared" si="15"/>
        <v>0</v>
      </c>
      <c r="I231" s="207">
        <f t="shared" si="15"/>
        <v>0</v>
      </c>
      <c r="J231" s="207">
        <f t="shared" si="15"/>
        <v>0</v>
      </c>
      <c r="K231" s="207">
        <f t="shared" si="15"/>
        <v>0</v>
      </c>
      <c r="L231" s="213">
        <f t="shared" si="14"/>
        <v>0</v>
      </c>
      <c r="M231" s="213">
        <f t="shared" si="16"/>
        <v>0</v>
      </c>
      <c r="O231" s="208">
        <f t="shared" si="17"/>
        <v>0</v>
      </c>
    </row>
    <row r="232" spans="1:15" ht="12.75" hidden="1" customHeight="1">
      <c r="A232" s="153">
        <v>6.04</v>
      </c>
      <c r="B232" s="154" t="s">
        <v>485</v>
      </c>
      <c r="C232" s="158">
        <v>0</v>
      </c>
      <c r="D232" s="158">
        <v>0</v>
      </c>
      <c r="E232" s="158">
        <v>0</v>
      </c>
      <c r="F232" s="164">
        <v>0</v>
      </c>
      <c r="H232" s="209">
        <f t="shared" si="15"/>
        <v>0</v>
      </c>
      <c r="I232" s="205">
        <f t="shared" si="15"/>
        <v>0</v>
      </c>
      <c r="J232" s="205">
        <f t="shared" si="15"/>
        <v>0</v>
      </c>
      <c r="K232" s="205">
        <f t="shared" si="15"/>
        <v>0</v>
      </c>
      <c r="L232" s="203">
        <f t="shared" si="14"/>
        <v>0</v>
      </c>
      <c r="M232" s="203">
        <f t="shared" si="16"/>
        <v>0</v>
      </c>
      <c r="O232" s="208">
        <f t="shared" si="17"/>
        <v>0</v>
      </c>
    </row>
    <row r="233" spans="1:15" ht="12.75" hidden="1" customHeight="1">
      <c r="A233" s="159" t="s">
        <v>486</v>
      </c>
      <c r="B233" s="160" t="s">
        <v>487</v>
      </c>
      <c r="C233" s="158">
        <v>0</v>
      </c>
      <c r="D233" s="142">
        <v>0</v>
      </c>
      <c r="E233" s="142">
        <v>0</v>
      </c>
      <c r="F233" s="143">
        <v>0</v>
      </c>
      <c r="H233" s="209">
        <f t="shared" si="15"/>
        <v>0</v>
      </c>
      <c r="I233" s="205">
        <f t="shared" si="15"/>
        <v>0</v>
      </c>
      <c r="J233" s="205">
        <f t="shared" si="15"/>
        <v>0</v>
      </c>
      <c r="K233" s="205">
        <f t="shared" si="15"/>
        <v>0</v>
      </c>
      <c r="L233" s="203">
        <f t="shared" si="14"/>
        <v>0</v>
      </c>
      <c r="M233" s="203">
        <f t="shared" si="16"/>
        <v>0</v>
      </c>
      <c r="O233" s="208">
        <f t="shared" si="17"/>
        <v>0</v>
      </c>
    </row>
    <row r="234" spans="1:15" ht="12.75" hidden="1" customHeight="1">
      <c r="A234" s="159" t="s">
        <v>488</v>
      </c>
      <c r="B234" s="160" t="s">
        <v>489</v>
      </c>
      <c r="C234" s="158">
        <v>0</v>
      </c>
      <c r="D234" s="142">
        <v>0</v>
      </c>
      <c r="E234" s="142">
        <v>0</v>
      </c>
      <c r="F234" s="143">
        <v>0</v>
      </c>
      <c r="H234" s="209">
        <f t="shared" si="15"/>
        <v>0</v>
      </c>
      <c r="I234" s="205">
        <f t="shared" si="15"/>
        <v>0</v>
      </c>
      <c r="J234" s="205">
        <f t="shared" si="15"/>
        <v>0</v>
      </c>
      <c r="K234" s="205">
        <f t="shared" si="15"/>
        <v>0</v>
      </c>
      <c r="L234" s="203">
        <f t="shared" si="14"/>
        <v>0</v>
      </c>
      <c r="M234" s="203">
        <f t="shared" si="16"/>
        <v>0</v>
      </c>
      <c r="O234" s="208">
        <f t="shared" si="17"/>
        <v>0</v>
      </c>
    </row>
    <row r="235" spans="1:15" s="191" customFormat="1" ht="12.75" hidden="1" customHeight="1">
      <c r="A235" s="159" t="s">
        <v>490</v>
      </c>
      <c r="B235" s="160" t="s">
        <v>491</v>
      </c>
      <c r="C235" s="158">
        <v>0</v>
      </c>
      <c r="D235" s="142">
        <v>0</v>
      </c>
      <c r="E235" s="142">
        <v>0</v>
      </c>
      <c r="F235" s="143">
        <v>0</v>
      </c>
      <c r="H235" s="220">
        <f t="shared" si="15"/>
        <v>0</v>
      </c>
      <c r="I235" s="205">
        <f t="shared" si="15"/>
        <v>0</v>
      </c>
      <c r="J235" s="205">
        <f t="shared" si="15"/>
        <v>0</v>
      </c>
      <c r="K235" s="205">
        <f t="shared" si="15"/>
        <v>0</v>
      </c>
      <c r="L235" s="203">
        <f t="shared" si="14"/>
        <v>0</v>
      </c>
      <c r="M235" s="203">
        <f t="shared" si="16"/>
        <v>0</v>
      </c>
      <c r="O235" s="208">
        <f t="shared" si="17"/>
        <v>0</v>
      </c>
    </row>
    <row r="236" spans="1:15" ht="12.75" hidden="1" customHeight="1">
      <c r="A236" s="150" t="s">
        <v>492</v>
      </c>
      <c r="B236" s="151" t="s">
        <v>493</v>
      </c>
      <c r="C236" s="158">
        <v>0</v>
      </c>
      <c r="D236" s="142">
        <v>0</v>
      </c>
      <c r="E236" s="142">
        <v>0</v>
      </c>
      <c r="F236" s="143">
        <v>0</v>
      </c>
      <c r="H236" s="205">
        <f t="shared" si="15"/>
        <v>0</v>
      </c>
      <c r="I236" s="205">
        <f t="shared" si="15"/>
        <v>0</v>
      </c>
      <c r="J236" s="205">
        <f t="shared" si="15"/>
        <v>0</v>
      </c>
      <c r="K236" s="205">
        <f t="shared" si="15"/>
        <v>0</v>
      </c>
      <c r="L236" s="203">
        <f t="shared" si="14"/>
        <v>0</v>
      </c>
      <c r="M236" s="203">
        <f t="shared" si="16"/>
        <v>0</v>
      </c>
      <c r="O236" s="208">
        <f t="shared" si="17"/>
        <v>0</v>
      </c>
    </row>
    <row r="237" spans="1:15" s="206" customFormat="1" ht="12.75" hidden="1" customHeight="1">
      <c r="A237" s="159"/>
      <c r="B237" s="160"/>
      <c r="C237" s="141"/>
      <c r="D237" s="142"/>
      <c r="E237" s="142"/>
      <c r="F237" s="143"/>
      <c r="H237" s="207">
        <f t="shared" si="15"/>
        <v>0</v>
      </c>
      <c r="I237" s="207">
        <f t="shared" si="15"/>
        <v>0</v>
      </c>
      <c r="J237" s="207">
        <f t="shared" si="15"/>
        <v>0</v>
      </c>
      <c r="K237" s="207">
        <f t="shared" si="15"/>
        <v>0</v>
      </c>
      <c r="L237" s="213">
        <f t="shared" si="14"/>
        <v>0</v>
      </c>
      <c r="M237" s="213">
        <f t="shared" si="16"/>
        <v>0</v>
      </c>
      <c r="O237" s="208">
        <f t="shared" si="17"/>
        <v>0</v>
      </c>
    </row>
    <row r="238" spans="1:15" ht="12.75" hidden="1" customHeight="1">
      <c r="A238" s="153">
        <v>6.05</v>
      </c>
      <c r="B238" s="154" t="s">
        <v>494</v>
      </c>
      <c r="C238" s="158">
        <v>0</v>
      </c>
      <c r="D238" s="158">
        <v>0</v>
      </c>
      <c r="E238" s="158">
        <v>0</v>
      </c>
      <c r="F238" s="164">
        <v>0</v>
      </c>
      <c r="H238" s="209">
        <f t="shared" si="15"/>
        <v>0</v>
      </c>
      <c r="I238" s="205">
        <f t="shared" si="15"/>
        <v>0</v>
      </c>
      <c r="J238" s="205">
        <f t="shared" si="15"/>
        <v>0</v>
      </c>
      <c r="K238" s="205">
        <f t="shared" si="15"/>
        <v>0</v>
      </c>
      <c r="L238" s="203">
        <f t="shared" si="14"/>
        <v>0</v>
      </c>
      <c r="M238" s="203">
        <f t="shared" si="16"/>
        <v>0</v>
      </c>
      <c r="O238" s="208">
        <f t="shared" si="17"/>
        <v>0</v>
      </c>
    </row>
    <row r="239" spans="1:15" ht="12.75" hidden="1" customHeight="1">
      <c r="A239" s="159" t="s">
        <v>495</v>
      </c>
      <c r="B239" s="160" t="s">
        <v>496</v>
      </c>
      <c r="C239" s="158">
        <v>0</v>
      </c>
      <c r="D239" s="142">
        <v>0</v>
      </c>
      <c r="E239" s="142">
        <v>0</v>
      </c>
      <c r="F239" s="143">
        <v>0</v>
      </c>
      <c r="H239" s="205">
        <f t="shared" si="15"/>
        <v>0</v>
      </c>
      <c r="I239" s="205">
        <f t="shared" si="15"/>
        <v>0</v>
      </c>
      <c r="J239" s="205">
        <f t="shared" si="15"/>
        <v>0</v>
      </c>
      <c r="K239" s="205">
        <f t="shared" si="15"/>
        <v>0</v>
      </c>
      <c r="L239" s="203">
        <f t="shared" si="14"/>
        <v>0</v>
      </c>
      <c r="M239" s="203">
        <f t="shared" si="16"/>
        <v>0</v>
      </c>
      <c r="O239" s="208">
        <f t="shared" si="17"/>
        <v>0</v>
      </c>
    </row>
    <row r="240" spans="1:15" s="206" customFormat="1" ht="12.75" hidden="1" customHeight="1">
      <c r="A240" s="159"/>
      <c r="B240" s="160"/>
      <c r="C240" s="141"/>
      <c r="D240" s="142"/>
      <c r="E240" s="142"/>
      <c r="F240" s="143"/>
      <c r="H240" s="207">
        <f t="shared" si="15"/>
        <v>0</v>
      </c>
      <c r="I240" s="207">
        <f t="shared" si="15"/>
        <v>0</v>
      </c>
      <c r="J240" s="207">
        <f t="shared" si="15"/>
        <v>0</v>
      </c>
      <c r="K240" s="207">
        <f t="shared" si="15"/>
        <v>0</v>
      </c>
      <c r="L240" s="213">
        <f t="shared" si="14"/>
        <v>0</v>
      </c>
      <c r="M240" s="213">
        <f t="shared" si="16"/>
        <v>0</v>
      </c>
      <c r="O240" s="208">
        <f t="shared" si="17"/>
        <v>0</v>
      </c>
    </row>
    <row r="241" spans="1:15" ht="12.75" hidden="1" customHeight="1">
      <c r="A241" s="153">
        <v>6.06</v>
      </c>
      <c r="B241" s="154" t="s">
        <v>497</v>
      </c>
      <c r="C241" s="148">
        <v>0</v>
      </c>
      <c r="D241" s="148">
        <v>0</v>
      </c>
      <c r="E241" s="148">
        <v>0</v>
      </c>
      <c r="F241" s="149">
        <v>0</v>
      </c>
      <c r="H241" s="209">
        <f t="shared" si="15"/>
        <v>0</v>
      </c>
      <c r="I241" s="205">
        <f t="shared" si="15"/>
        <v>0</v>
      </c>
      <c r="J241" s="205">
        <f t="shared" si="15"/>
        <v>0</v>
      </c>
      <c r="K241" s="205">
        <f t="shared" si="15"/>
        <v>0</v>
      </c>
      <c r="L241" s="203">
        <f t="shared" si="14"/>
        <v>0</v>
      </c>
      <c r="M241" s="203">
        <f t="shared" si="16"/>
        <v>0</v>
      </c>
      <c r="O241" s="208">
        <f t="shared" si="17"/>
        <v>0</v>
      </c>
    </row>
    <row r="242" spans="1:15" ht="12.75" hidden="1" customHeight="1">
      <c r="A242" s="159" t="s">
        <v>498</v>
      </c>
      <c r="B242" s="160" t="s">
        <v>499</v>
      </c>
      <c r="C242" s="158">
        <v>0</v>
      </c>
      <c r="D242" s="142">
        <v>0</v>
      </c>
      <c r="E242" s="142">
        <v>0</v>
      </c>
      <c r="F242" s="143">
        <v>0</v>
      </c>
      <c r="H242" s="209">
        <f t="shared" si="15"/>
        <v>0</v>
      </c>
      <c r="I242" s="205">
        <f t="shared" si="15"/>
        <v>0</v>
      </c>
      <c r="J242" s="205">
        <f t="shared" si="15"/>
        <v>0</v>
      </c>
      <c r="K242" s="205">
        <f t="shared" si="15"/>
        <v>0</v>
      </c>
      <c r="L242" s="203">
        <f t="shared" si="14"/>
        <v>0</v>
      </c>
      <c r="M242" s="203">
        <f t="shared" si="16"/>
        <v>0</v>
      </c>
      <c r="O242" s="208">
        <f t="shared" si="17"/>
        <v>0</v>
      </c>
    </row>
    <row r="243" spans="1:15" hidden="1">
      <c r="A243" s="159" t="s">
        <v>500</v>
      </c>
      <c r="B243" s="160" t="s">
        <v>501</v>
      </c>
      <c r="C243" s="158">
        <v>0</v>
      </c>
      <c r="D243" s="142">
        <v>0</v>
      </c>
      <c r="E243" s="142">
        <v>0</v>
      </c>
      <c r="F243" s="143">
        <v>0</v>
      </c>
      <c r="H243" s="205">
        <f t="shared" si="15"/>
        <v>0</v>
      </c>
      <c r="I243" s="205">
        <f t="shared" si="15"/>
        <v>0</v>
      </c>
      <c r="J243" s="205">
        <f t="shared" si="15"/>
        <v>0</v>
      </c>
      <c r="K243" s="205">
        <f t="shared" si="15"/>
        <v>0</v>
      </c>
      <c r="L243" s="203">
        <f t="shared" si="14"/>
        <v>0</v>
      </c>
      <c r="M243" s="203">
        <f t="shared" si="16"/>
        <v>0</v>
      </c>
      <c r="O243" s="208">
        <f t="shared" si="17"/>
        <v>0</v>
      </c>
    </row>
    <row r="244" spans="1:15" s="206" customFormat="1" ht="16.5" hidden="1" customHeight="1">
      <c r="A244" s="150"/>
      <c r="B244" s="151"/>
      <c r="C244" s="141"/>
      <c r="D244" s="142"/>
      <c r="E244" s="142"/>
      <c r="F244" s="143"/>
      <c r="H244" s="207">
        <f t="shared" si="15"/>
        <v>0</v>
      </c>
      <c r="I244" s="207">
        <f t="shared" si="15"/>
        <v>0</v>
      </c>
      <c r="J244" s="207">
        <f t="shared" si="15"/>
        <v>0</v>
      </c>
      <c r="K244" s="207">
        <f t="shared" si="15"/>
        <v>0</v>
      </c>
      <c r="L244" s="203">
        <f t="shared" si="14"/>
        <v>0</v>
      </c>
      <c r="M244" s="203">
        <f t="shared" si="16"/>
        <v>0</v>
      </c>
      <c r="O244" s="208">
        <f t="shared" si="17"/>
        <v>0</v>
      </c>
    </row>
    <row r="245" spans="1:15" ht="25.5">
      <c r="A245" s="153" t="s">
        <v>502</v>
      </c>
      <c r="B245" s="154" t="s">
        <v>503</v>
      </c>
      <c r="C245" s="148">
        <v>848400</v>
      </c>
      <c r="D245" s="148">
        <v>0</v>
      </c>
      <c r="E245" s="148">
        <v>848400</v>
      </c>
      <c r="F245" s="149">
        <v>0</v>
      </c>
      <c r="H245" s="209">
        <f t="shared" si="15"/>
        <v>848.4</v>
      </c>
      <c r="I245" s="205">
        <f>+D245/1000</f>
        <v>0</v>
      </c>
      <c r="J245" s="205">
        <f>+E245/1000</f>
        <v>848.4</v>
      </c>
      <c r="K245" s="205">
        <f>+F245/1000</f>
        <v>0</v>
      </c>
      <c r="L245" s="203">
        <f t="shared" si="14"/>
        <v>0</v>
      </c>
      <c r="M245" s="203">
        <f t="shared" si="16"/>
        <v>0</v>
      </c>
      <c r="O245" s="208">
        <f t="shared" si="17"/>
        <v>8.0388403564590099E-4</v>
      </c>
    </row>
    <row r="246" spans="1:15" ht="12.75" customHeight="1">
      <c r="A246" s="150" t="s">
        <v>504</v>
      </c>
      <c r="B246" s="151" t="s">
        <v>505</v>
      </c>
      <c r="C246" s="158">
        <v>848400</v>
      </c>
      <c r="D246" s="142">
        <v>0</v>
      </c>
      <c r="E246" s="142">
        <v>848400</v>
      </c>
      <c r="F246" s="143">
        <v>0</v>
      </c>
      <c r="H246" s="209">
        <f t="shared" si="15"/>
        <v>848.4</v>
      </c>
      <c r="I246" s="205">
        <f t="shared" si="15"/>
        <v>0</v>
      </c>
      <c r="J246" s="205">
        <f t="shared" si="15"/>
        <v>848.4</v>
      </c>
      <c r="K246" s="205">
        <f t="shared" si="15"/>
        <v>0</v>
      </c>
      <c r="L246" s="203">
        <f t="shared" si="14"/>
        <v>0</v>
      </c>
      <c r="M246" s="203">
        <f t="shared" si="16"/>
        <v>0</v>
      </c>
      <c r="O246" s="208">
        <f t="shared" si="17"/>
        <v>8.0388403564590099E-4</v>
      </c>
    </row>
    <row r="247" spans="1:15" ht="12.75" hidden="1" customHeight="1">
      <c r="A247" s="159" t="s">
        <v>506</v>
      </c>
      <c r="B247" s="160" t="s">
        <v>507</v>
      </c>
      <c r="C247" s="158">
        <v>0</v>
      </c>
      <c r="D247" s="142">
        <v>0</v>
      </c>
      <c r="E247" s="142">
        <v>0</v>
      </c>
      <c r="F247" s="143">
        <v>0</v>
      </c>
      <c r="H247" s="205">
        <f t="shared" si="15"/>
        <v>0</v>
      </c>
      <c r="I247" s="205">
        <f t="shared" si="15"/>
        <v>0</v>
      </c>
      <c r="J247" s="205">
        <f t="shared" si="15"/>
        <v>0</v>
      </c>
      <c r="K247" s="205">
        <f t="shared" si="15"/>
        <v>0</v>
      </c>
      <c r="L247" s="203">
        <f t="shared" si="14"/>
        <v>0</v>
      </c>
      <c r="M247" s="203">
        <f t="shared" si="16"/>
        <v>0</v>
      </c>
      <c r="O247" s="208">
        <f t="shared" si="17"/>
        <v>0</v>
      </c>
    </row>
    <row r="248" spans="1:15" s="223" customFormat="1" ht="12.75" hidden="1" customHeight="1">
      <c r="A248" s="150"/>
      <c r="B248" s="151"/>
      <c r="C248" s="141"/>
      <c r="D248" s="142"/>
      <c r="E248" s="142"/>
      <c r="F248" s="143"/>
      <c r="G248" s="170"/>
      <c r="H248" s="221">
        <f t="shared" si="15"/>
        <v>0</v>
      </c>
      <c r="I248" s="221">
        <f t="shared" si="15"/>
        <v>0</v>
      </c>
      <c r="J248" s="221">
        <f t="shared" si="15"/>
        <v>0</v>
      </c>
      <c r="K248" s="221">
        <f t="shared" si="15"/>
        <v>0</v>
      </c>
      <c r="L248" s="222">
        <f t="shared" si="14"/>
        <v>0</v>
      </c>
      <c r="M248" s="222">
        <f t="shared" si="16"/>
        <v>0</v>
      </c>
      <c r="O248" s="208">
        <f t="shared" si="17"/>
        <v>0</v>
      </c>
    </row>
    <row r="249" spans="1:15" ht="12.75" hidden="1" customHeight="1">
      <c r="A249" s="153">
        <v>9</v>
      </c>
      <c r="B249" s="154" t="s">
        <v>508</v>
      </c>
      <c r="C249" s="158">
        <v>0</v>
      </c>
      <c r="D249" s="158">
        <v>0</v>
      </c>
      <c r="E249" s="158">
        <v>0</v>
      </c>
      <c r="F249" s="164">
        <v>0</v>
      </c>
      <c r="H249" s="205">
        <f t="shared" si="15"/>
        <v>0</v>
      </c>
      <c r="I249" s="205">
        <f t="shared" si="15"/>
        <v>0</v>
      </c>
      <c r="J249" s="205">
        <f t="shared" si="15"/>
        <v>0</v>
      </c>
      <c r="K249" s="205">
        <f t="shared" si="15"/>
        <v>0</v>
      </c>
      <c r="L249" s="203">
        <f t="shared" si="14"/>
        <v>0</v>
      </c>
      <c r="M249" s="203">
        <f t="shared" si="16"/>
        <v>0</v>
      </c>
      <c r="O249" s="208">
        <f t="shared" si="17"/>
        <v>0</v>
      </c>
    </row>
    <row r="250" spans="1:15" s="206" customFormat="1" ht="12.75" hidden="1" customHeight="1">
      <c r="A250" s="150"/>
      <c r="B250" s="151"/>
      <c r="C250" s="141"/>
      <c r="D250" s="142"/>
      <c r="E250" s="142"/>
      <c r="F250" s="143"/>
      <c r="H250" s="207">
        <f t="shared" si="15"/>
        <v>0</v>
      </c>
      <c r="I250" s="207">
        <f t="shared" si="15"/>
        <v>0</v>
      </c>
      <c r="J250" s="207">
        <f t="shared" si="15"/>
        <v>0</v>
      </c>
      <c r="K250" s="207">
        <f t="shared" si="15"/>
        <v>0</v>
      </c>
      <c r="L250" s="213">
        <f t="shared" si="14"/>
        <v>0</v>
      </c>
      <c r="M250" s="213">
        <f t="shared" si="16"/>
        <v>0</v>
      </c>
      <c r="O250" s="208">
        <f t="shared" si="17"/>
        <v>0</v>
      </c>
    </row>
    <row r="251" spans="1:15" ht="12.75" hidden="1" customHeight="1">
      <c r="A251" s="153">
        <v>9.01</v>
      </c>
      <c r="B251" s="154" t="s">
        <v>509</v>
      </c>
      <c r="C251" s="158">
        <v>0</v>
      </c>
      <c r="D251" s="158">
        <v>0</v>
      </c>
      <c r="E251" s="158">
        <v>0</v>
      </c>
      <c r="F251" s="164">
        <v>0</v>
      </c>
      <c r="H251" s="209">
        <f t="shared" si="15"/>
        <v>0</v>
      </c>
      <c r="I251" s="205">
        <f t="shared" si="15"/>
        <v>0</v>
      </c>
      <c r="J251" s="205">
        <f t="shared" si="15"/>
        <v>0</v>
      </c>
      <c r="K251" s="205">
        <f t="shared" si="15"/>
        <v>0</v>
      </c>
      <c r="L251" s="203">
        <f t="shared" si="14"/>
        <v>0</v>
      </c>
      <c r="M251" s="203">
        <f t="shared" si="16"/>
        <v>0</v>
      </c>
      <c r="O251" s="208">
        <f t="shared" si="17"/>
        <v>0</v>
      </c>
    </row>
    <row r="252" spans="1:15" ht="12.75" hidden="1" customHeight="1">
      <c r="A252" s="159" t="s">
        <v>510</v>
      </c>
      <c r="B252" s="160" t="s">
        <v>511</v>
      </c>
      <c r="C252" s="158">
        <v>0</v>
      </c>
      <c r="D252" s="142">
        <v>0</v>
      </c>
      <c r="E252" s="142">
        <v>0</v>
      </c>
      <c r="F252" s="143">
        <v>0</v>
      </c>
      <c r="H252" s="205">
        <f t="shared" si="15"/>
        <v>0</v>
      </c>
      <c r="I252" s="205">
        <f t="shared" si="15"/>
        <v>0</v>
      </c>
      <c r="J252" s="205">
        <f t="shared" si="15"/>
        <v>0</v>
      </c>
      <c r="K252" s="205">
        <f t="shared" si="15"/>
        <v>0</v>
      </c>
      <c r="L252" s="203">
        <f t="shared" si="14"/>
        <v>0</v>
      </c>
      <c r="M252" s="203">
        <f t="shared" si="16"/>
        <v>0</v>
      </c>
      <c r="O252" s="208">
        <f t="shared" si="17"/>
        <v>0</v>
      </c>
    </row>
    <row r="253" spans="1:15" s="206" customFormat="1" ht="12.75" hidden="1" customHeight="1">
      <c r="A253" s="159"/>
      <c r="B253" s="160"/>
      <c r="C253" s="141"/>
      <c r="D253" s="142"/>
      <c r="E253" s="142"/>
      <c r="F253" s="143"/>
      <c r="H253" s="207">
        <f t="shared" si="15"/>
        <v>0</v>
      </c>
      <c r="I253" s="207">
        <f t="shared" si="15"/>
        <v>0</v>
      </c>
      <c r="J253" s="207">
        <f t="shared" si="15"/>
        <v>0</v>
      </c>
      <c r="K253" s="207">
        <f t="shared" si="15"/>
        <v>0</v>
      </c>
      <c r="L253" s="203">
        <f t="shared" si="14"/>
        <v>0</v>
      </c>
      <c r="M253" s="203">
        <f t="shared" si="16"/>
        <v>0</v>
      </c>
      <c r="O253" s="208">
        <f t="shared" si="17"/>
        <v>0</v>
      </c>
    </row>
    <row r="254" spans="1:15" ht="12.75" hidden="1" customHeight="1">
      <c r="A254" s="153" t="s">
        <v>512</v>
      </c>
      <c r="B254" s="154" t="s">
        <v>513</v>
      </c>
      <c r="C254" s="158">
        <v>0</v>
      </c>
      <c r="D254" s="158">
        <v>0</v>
      </c>
      <c r="E254" s="158">
        <v>0</v>
      </c>
      <c r="F254" s="164">
        <v>0</v>
      </c>
      <c r="H254" s="209">
        <f t="shared" si="15"/>
        <v>0</v>
      </c>
      <c r="I254" s="205">
        <f t="shared" si="15"/>
        <v>0</v>
      </c>
      <c r="J254" s="205">
        <f t="shared" si="15"/>
        <v>0</v>
      </c>
      <c r="K254" s="205">
        <f t="shared" si="15"/>
        <v>0</v>
      </c>
      <c r="L254" s="203">
        <f t="shared" si="14"/>
        <v>0</v>
      </c>
      <c r="M254" s="203">
        <f t="shared" si="16"/>
        <v>0</v>
      </c>
      <c r="O254" s="208">
        <f t="shared" si="17"/>
        <v>0</v>
      </c>
    </row>
    <row r="255" spans="1:15" ht="25.5" hidden="1" customHeight="1">
      <c r="A255" s="150" t="s">
        <v>514</v>
      </c>
      <c r="B255" s="151" t="s">
        <v>515</v>
      </c>
      <c r="C255" s="158">
        <v>0</v>
      </c>
      <c r="D255" s="142">
        <v>0</v>
      </c>
      <c r="E255" s="142">
        <v>0</v>
      </c>
      <c r="F255" s="143">
        <v>0</v>
      </c>
      <c r="H255" s="209">
        <f t="shared" si="15"/>
        <v>0</v>
      </c>
      <c r="I255" s="205">
        <f t="shared" si="15"/>
        <v>0</v>
      </c>
      <c r="J255" s="205">
        <f t="shared" si="15"/>
        <v>0</v>
      </c>
      <c r="K255" s="205">
        <f t="shared" si="15"/>
        <v>0</v>
      </c>
      <c r="L255" s="203">
        <f t="shared" si="14"/>
        <v>0</v>
      </c>
      <c r="M255" s="203">
        <f t="shared" si="16"/>
        <v>0</v>
      </c>
      <c r="O255" s="208">
        <f t="shared" si="17"/>
        <v>0</v>
      </c>
    </row>
    <row r="256" spans="1:15" ht="26.25" hidden="1" thickBot="1">
      <c r="A256" s="150" t="s">
        <v>516</v>
      </c>
      <c r="B256" s="151" t="s">
        <v>517</v>
      </c>
      <c r="C256" s="158">
        <v>0</v>
      </c>
      <c r="D256" s="142">
        <v>0</v>
      </c>
      <c r="E256" s="142">
        <v>0</v>
      </c>
      <c r="F256" s="143">
        <v>0</v>
      </c>
      <c r="H256" s="224">
        <f t="shared" si="15"/>
        <v>0</v>
      </c>
      <c r="I256" s="224">
        <f t="shared" si="15"/>
        <v>0</v>
      </c>
      <c r="J256" s="224">
        <f t="shared" si="15"/>
        <v>0</v>
      </c>
      <c r="K256" s="224">
        <f t="shared" si="15"/>
        <v>0</v>
      </c>
      <c r="L256" s="203">
        <f t="shared" si="14"/>
        <v>0</v>
      </c>
      <c r="M256" s="203">
        <f t="shared" si="16"/>
        <v>0</v>
      </c>
      <c r="O256" s="208">
        <f t="shared" si="17"/>
        <v>0</v>
      </c>
    </row>
    <row r="257" spans="1:15" ht="13.5" thickBot="1">
      <c r="A257" s="168"/>
      <c r="B257" s="169"/>
      <c r="C257" s="166"/>
      <c r="D257" s="166"/>
      <c r="E257" s="166"/>
      <c r="F257" s="167"/>
      <c r="L257" s="203"/>
      <c r="M257" s="203"/>
      <c r="O257" s="208">
        <f t="shared" si="17"/>
        <v>0</v>
      </c>
    </row>
    <row r="258" spans="1:15">
      <c r="L258" s="203"/>
      <c r="M258" s="203"/>
    </row>
    <row r="259" spans="1:15">
      <c r="L259" s="203"/>
      <c r="M259" s="203"/>
    </row>
    <row r="260" spans="1:15">
      <c r="L260" s="203"/>
      <c r="M260" s="203"/>
    </row>
    <row r="261" spans="1:15">
      <c r="L261" s="203"/>
      <c r="M261" s="203"/>
    </row>
    <row r="262" spans="1:15">
      <c r="L262" s="203"/>
      <c r="M262" s="203"/>
    </row>
    <row r="263" spans="1:15">
      <c r="L263" s="203"/>
      <c r="M263" s="203"/>
    </row>
    <row r="264" spans="1:15">
      <c r="L264" s="203"/>
      <c r="M264" s="203"/>
    </row>
    <row r="265" spans="1:15">
      <c r="L265" s="203"/>
      <c r="M265" s="203"/>
    </row>
    <row r="266" spans="1:15">
      <c r="L266" s="203"/>
      <c r="M266" s="203"/>
    </row>
    <row r="267" spans="1:15">
      <c r="L267" s="203"/>
      <c r="M267" s="203"/>
    </row>
    <row r="268" spans="1:15">
      <c r="L268" s="203"/>
      <c r="M268" s="203"/>
    </row>
    <row r="269" spans="1:15">
      <c r="L269" s="203"/>
      <c r="M269" s="203"/>
    </row>
    <row r="270" spans="1:15">
      <c r="L270" s="203"/>
      <c r="M270" s="203"/>
    </row>
    <row r="271" spans="1:15">
      <c r="L271" s="203"/>
      <c r="M271" s="203"/>
    </row>
    <row r="272" spans="1:15">
      <c r="L272" s="203"/>
      <c r="M272" s="203"/>
    </row>
    <row r="273" spans="12:13">
      <c r="L273" s="203"/>
      <c r="M273" s="203"/>
    </row>
    <row r="274" spans="12:13">
      <c r="L274" s="203"/>
      <c r="M274" s="203"/>
    </row>
    <row r="275" spans="12:13">
      <c r="L275" s="203"/>
      <c r="M275" s="203"/>
    </row>
    <row r="276" spans="12:13">
      <c r="L276" s="203"/>
      <c r="M276" s="203"/>
    </row>
    <row r="277" spans="12:13">
      <c r="L277" s="203"/>
      <c r="M277" s="203"/>
    </row>
    <row r="278" spans="12:13">
      <c r="L278" s="203"/>
      <c r="M278" s="203"/>
    </row>
    <row r="279" spans="12:13">
      <c r="L279" s="203"/>
      <c r="M279" s="203"/>
    </row>
    <row r="280" spans="12:13">
      <c r="L280" s="203"/>
      <c r="M280" s="203"/>
    </row>
    <row r="281" spans="12:13">
      <c r="L281" s="203"/>
      <c r="M281" s="203"/>
    </row>
    <row r="282" spans="12:13">
      <c r="L282" s="203"/>
      <c r="M282" s="203"/>
    </row>
    <row r="283" spans="12:13">
      <c r="L283" s="203"/>
      <c r="M283" s="203"/>
    </row>
    <row r="284" spans="12:13">
      <c r="L284" s="203"/>
      <c r="M284" s="203"/>
    </row>
    <row r="285" spans="12:13">
      <c r="L285" s="203"/>
      <c r="M285" s="203"/>
    </row>
    <row r="286" spans="12:13">
      <c r="L286" s="203"/>
      <c r="M286" s="203"/>
    </row>
    <row r="287" spans="12:13">
      <c r="L287" s="203"/>
      <c r="M287" s="203"/>
    </row>
    <row r="288" spans="12:13">
      <c r="L288" s="203"/>
      <c r="M288" s="203"/>
    </row>
    <row r="289" spans="12:13">
      <c r="L289" s="203"/>
      <c r="M289" s="203"/>
    </row>
    <row r="290" spans="12:13">
      <c r="L290" s="203"/>
      <c r="M290" s="203"/>
    </row>
    <row r="291" spans="12:13">
      <c r="L291" s="203"/>
      <c r="M291" s="203"/>
    </row>
    <row r="292" spans="12:13">
      <c r="L292" s="203"/>
      <c r="M292" s="203"/>
    </row>
    <row r="293" spans="12:13">
      <c r="L293" s="203"/>
      <c r="M293" s="203"/>
    </row>
  </sheetData>
  <mergeCells count="10">
    <mergeCell ref="H6:H7"/>
    <mergeCell ref="C7:C8"/>
    <mergeCell ref="A1:F1"/>
    <mergeCell ref="A2:F2"/>
    <mergeCell ref="A3:F3"/>
    <mergeCell ref="A4:F4"/>
    <mergeCell ref="A5:F5"/>
    <mergeCell ref="A6:A8"/>
    <mergeCell ref="B6:B8"/>
    <mergeCell ref="C6:F6"/>
  </mergeCells>
  <printOptions horizontalCentered="1"/>
  <pageMargins left="0.39370078740157483" right="0.39370078740157483" top="0.59055118110236227" bottom="0" header="0.19685039370078741" footer="0"/>
  <pageSetup scale="85" fitToHeight="3" orientation="landscape" r:id="rId1"/>
  <headerFooter alignWithMargins="0">
    <oddHeader>&amp;L&amp;G</oddHeader>
  </headerFooter>
  <rowBreaks count="2" manualBreakCount="2">
    <brk id="102" max="5" man="1"/>
    <brk id="171" max="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zoomScale="84" zoomScaleNormal="84" zoomScaleSheetLayoutView="89" workbookViewId="0">
      <selection activeCell="B154" sqref="B154"/>
    </sheetView>
  </sheetViews>
  <sheetFormatPr baseColWidth="10" defaultRowHeight="12.75"/>
  <cols>
    <col min="1" max="1" width="8.85546875" style="381" customWidth="1"/>
    <col min="2" max="2" width="40" style="382" customWidth="1"/>
    <col min="3" max="3" width="17.28515625" style="383" customWidth="1"/>
    <col min="4" max="4" width="58.7109375" style="384" customWidth="1"/>
    <col min="5" max="5" width="16.5703125" style="385" customWidth="1"/>
    <col min="6" max="6" width="17.5703125" style="386" customWidth="1"/>
    <col min="7" max="7" width="17.5703125" style="268" customWidth="1"/>
    <col min="8" max="8" width="18.140625" style="268" customWidth="1"/>
    <col min="9" max="9" width="15.28515625" style="268" bestFit="1" customWidth="1"/>
    <col min="10" max="16384" width="11.42578125" style="268"/>
  </cols>
  <sheetData>
    <row r="1" spans="1:9" ht="18" customHeight="1">
      <c r="A1" s="267" t="s">
        <v>0</v>
      </c>
      <c r="B1" s="267"/>
      <c r="C1" s="267"/>
      <c r="D1" s="267"/>
      <c r="E1" s="267"/>
      <c r="F1" s="267"/>
    </row>
    <row r="2" spans="1:9" ht="21.75" customHeight="1">
      <c r="A2" s="267" t="s">
        <v>519</v>
      </c>
      <c r="B2" s="267"/>
      <c r="C2" s="267"/>
      <c r="D2" s="267"/>
      <c r="E2" s="267"/>
      <c r="F2" s="267"/>
    </row>
    <row r="3" spans="1:9" ht="23.25" customHeight="1">
      <c r="A3" s="269" t="s">
        <v>523</v>
      </c>
      <c r="B3" s="269"/>
      <c r="C3" s="269"/>
      <c r="D3" s="269"/>
      <c r="E3" s="269"/>
      <c r="F3" s="269"/>
    </row>
    <row r="4" spans="1:9" ht="18" customHeight="1" thickBot="1">
      <c r="A4" s="267" t="s">
        <v>120</v>
      </c>
      <c r="B4" s="267"/>
      <c r="C4" s="267"/>
      <c r="D4" s="267"/>
      <c r="E4" s="267"/>
      <c r="F4" s="267"/>
    </row>
    <row r="5" spans="1:9">
      <c r="A5" s="270" t="s">
        <v>121</v>
      </c>
      <c r="B5" s="271" t="s">
        <v>122</v>
      </c>
      <c r="C5" s="272" t="s">
        <v>524</v>
      </c>
      <c r="D5" s="273"/>
      <c r="E5" s="274" t="s">
        <v>525</v>
      </c>
      <c r="F5" s="275" t="s">
        <v>9</v>
      </c>
    </row>
    <row r="6" spans="1:9">
      <c r="A6" s="276"/>
      <c r="B6" s="276"/>
      <c r="C6" s="277"/>
      <c r="D6" s="278"/>
      <c r="E6" s="279"/>
      <c r="F6" s="280"/>
    </row>
    <row r="7" spans="1:9" ht="13.5" thickBot="1">
      <c r="A7" s="276"/>
      <c r="B7" s="276"/>
      <c r="C7" s="281"/>
      <c r="D7" s="282"/>
      <c r="E7" s="279"/>
      <c r="F7" s="280"/>
    </row>
    <row r="8" spans="1:9" ht="13.5" thickBot="1">
      <c r="A8" s="276"/>
      <c r="B8" s="276"/>
      <c r="C8" s="283" t="s">
        <v>526</v>
      </c>
      <c r="D8" s="284" t="s">
        <v>527</v>
      </c>
      <c r="E8" s="279"/>
      <c r="F8" s="280"/>
    </row>
    <row r="9" spans="1:9">
      <c r="A9" s="285"/>
      <c r="B9" s="286" t="s">
        <v>126</v>
      </c>
      <c r="C9" s="287"/>
      <c r="D9" s="288"/>
      <c r="E9" s="289">
        <f>SUM(E10:E132)</f>
        <v>1055376102</v>
      </c>
      <c r="F9" s="290">
        <f>+F16+F11+F75+F125+F102</f>
        <v>1055376102</v>
      </c>
      <c r="G9" s="291">
        <v>1055376102</v>
      </c>
      <c r="H9" s="292">
        <f>+G9-F9</f>
        <v>0</v>
      </c>
      <c r="I9" s="292"/>
    </row>
    <row r="10" spans="1:9" ht="13.5" thickBot="1">
      <c r="A10" s="293"/>
      <c r="B10" s="294"/>
      <c r="C10" s="295"/>
      <c r="D10" s="296"/>
      <c r="E10" s="297"/>
      <c r="F10" s="298"/>
    </row>
    <row r="11" spans="1:9" ht="13.5" thickBot="1">
      <c r="A11" s="299">
        <v>0</v>
      </c>
      <c r="B11" s="300" t="s">
        <v>127</v>
      </c>
      <c r="C11" s="301"/>
      <c r="D11" s="302"/>
      <c r="E11" s="303"/>
      <c r="F11" s="304">
        <f>+F13</f>
        <v>2162873.2799999998</v>
      </c>
    </row>
    <row r="12" spans="1:9" ht="13.5" thickBot="1">
      <c r="A12" s="305"/>
      <c r="B12" s="306"/>
      <c r="C12" s="307"/>
      <c r="D12" s="308"/>
      <c r="E12" s="309"/>
      <c r="F12" s="310"/>
    </row>
    <row r="13" spans="1:9" ht="13.5" thickBot="1">
      <c r="A13" s="299" t="s">
        <v>140</v>
      </c>
      <c r="B13" s="300" t="s">
        <v>141</v>
      </c>
      <c r="C13" s="301"/>
      <c r="D13" s="302"/>
      <c r="E13" s="303"/>
      <c r="F13" s="304">
        <f>+F14</f>
        <v>2162873.2799999998</v>
      </c>
    </row>
    <row r="14" spans="1:9" ht="57.75" customHeight="1">
      <c r="A14" s="311" t="s">
        <v>150</v>
      </c>
      <c r="B14" s="294" t="s">
        <v>151</v>
      </c>
      <c r="C14" s="295" t="s">
        <v>528</v>
      </c>
      <c r="D14" s="312" t="s">
        <v>529</v>
      </c>
      <c r="E14" s="313">
        <v>2162873.2799999998</v>
      </c>
      <c r="F14" s="314">
        <v>2162873.2799999998</v>
      </c>
    </row>
    <row r="15" spans="1:9" ht="13.5" thickBot="1">
      <c r="A15" s="315"/>
      <c r="B15" s="316"/>
      <c r="C15" s="317"/>
      <c r="D15" s="318"/>
      <c r="E15" s="319"/>
      <c r="F15" s="320"/>
    </row>
    <row r="16" spans="1:9" ht="13.5" thickBot="1">
      <c r="A16" s="299">
        <v>1</v>
      </c>
      <c r="B16" s="300" t="s">
        <v>194</v>
      </c>
      <c r="C16" s="301"/>
      <c r="D16" s="302"/>
      <c r="E16" s="303"/>
      <c r="F16" s="304">
        <f>+F32+F40+F52+F72+F21+F44+F47+F18</f>
        <v>700095428.72000003</v>
      </c>
    </row>
    <row r="17" spans="1:9">
      <c r="A17" s="315"/>
      <c r="B17" s="316"/>
      <c r="C17" s="317"/>
      <c r="D17" s="318"/>
      <c r="E17" s="319"/>
      <c r="F17" s="320"/>
    </row>
    <row r="18" spans="1:9">
      <c r="A18" s="321" t="s">
        <v>207</v>
      </c>
      <c r="B18" s="322" t="s">
        <v>208</v>
      </c>
      <c r="C18" s="322"/>
      <c r="D18" s="323"/>
      <c r="E18" s="324"/>
      <c r="F18" s="325">
        <f>SUM(F19:F19)</f>
        <v>565000</v>
      </c>
    </row>
    <row r="19" spans="1:9" ht="40.5" customHeight="1">
      <c r="A19" s="311" t="s">
        <v>530</v>
      </c>
      <c r="B19" s="294" t="s">
        <v>531</v>
      </c>
      <c r="C19" s="295" t="s">
        <v>532</v>
      </c>
      <c r="D19" s="312" t="s">
        <v>533</v>
      </c>
      <c r="E19" s="313">
        <f>500000+65000</f>
        <v>565000</v>
      </c>
      <c r="F19" s="314">
        <f>+E19</f>
        <v>565000</v>
      </c>
    </row>
    <row r="20" spans="1:9" ht="13.5" thickBot="1">
      <c r="A20" s="326"/>
      <c r="B20" s="327"/>
      <c r="C20" s="328"/>
      <c r="D20" s="329"/>
      <c r="E20" s="330"/>
      <c r="F20" s="331"/>
    </row>
    <row r="21" spans="1:9" ht="26.25" thickBot="1">
      <c r="A21" s="299" t="s">
        <v>219</v>
      </c>
      <c r="B21" s="300" t="s">
        <v>220</v>
      </c>
      <c r="C21" s="301"/>
      <c r="D21" s="302"/>
      <c r="E21" s="303"/>
      <c r="F21" s="304">
        <f>SUM(F22:F30)</f>
        <v>395256428.67000002</v>
      </c>
    </row>
    <row r="22" spans="1:9" ht="98.25" customHeight="1">
      <c r="A22" s="332" t="s">
        <v>221</v>
      </c>
      <c r="B22" s="306" t="s">
        <v>222</v>
      </c>
      <c r="C22" s="295" t="s">
        <v>528</v>
      </c>
      <c r="D22" s="312" t="s">
        <v>534</v>
      </c>
      <c r="E22" s="313">
        <v>1500000</v>
      </c>
      <c r="F22" s="333">
        <f>+E22</f>
        <v>1500000</v>
      </c>
    </row>
    <row r="23" spans="1:9" ht="147.75" customHeight="1">
      <c r="A23" s="334" t="s">
        <v>223</v>
      </c>
      <c r="B23" s="294" t="s">
        <v>224</v>
      </c>
      <c r="C23" s="335" t="s">
        <v>528</v>
      </c>
      <c r="D23" s="312" t="s">
        <v>535</v>
      </c>
      <c r="E23" s="313">
        <v>2250000</v>
      </c>
      <c r="F23" s="314">
        <f>+E23</f>
        <v>2250000</v>
      </c>
    </row>
    <row r="24" spans="1:9" ht="36" customHeight="1">
      <c r="A24" s="336" t="s">
        <v>225</v>
      </c>
      <c r="B24" s="337" t="s">
        <v>226</v>
      </c>
      <c r="C24" s="295" t="s">
        <v>528</v>
      </c>
      <c r="D24" s="312" t="s">
        <v>536</v>
      </c>
      <c r="E24" s="338">
        <v>150000</v>
      </c>
      <c r="F24" s="339">
        <f>SUM(E24:E25)</f>
        <v>3150000</v>
      </c>
    </row>
    <row r="25" spans="1:9" ht="57" customHeight="1">
      <c r="A25" s="336"/>
      <c r="B25" s="337"/>
      <c r="C25" s="295" t="s">
        <v>537</v>
      </c>
      <c r="D25" s="312" t="s">
        <v>538</v>
      </c>
      <c r="E25" s="340">
        <v>3000000</v>
      </c>
      <c r="F25" s="339"/>
    </row>
    <row r="26" spans="1:9" ht="74.25" customHeight="1">
      <c r="A26" s="341" t="s">
        <v>231</v>
      </c>
      <c r="B26" s="294" t="s">
        <v>232</v>
      </c>
      <c r="C26" s="295" t="s">
        <v>539</v>
      </c>
      <c r="D26" s="312" t="s">
        <v>540</v>
      </c>
      <c r="E26" s="342">
        <v>11500000</v>
      </c>
      <c r="F26" s="314">
        <v>11500000</v>
      </c>
    </row>
    <row r="27" spans="1:9" ht="49.5" customHeight="1">
      <c r="A27" s="336" t="s">
        <v>233</v>
      </c>
      <c r="B27" s="337" t="s">
        <v>234</v>
      </c>
      <c r="C27" s="295" t="s">
        <v>541</v>
      </c>
      <c r="D27" s="312" t="s">
        <v>542</v>
      </c>
      <c r="E27" s="313">
        <f>6000000-2000000</f>
        <v>4000000</v>
      </c>
      <c r="F27" s="339">
        <f>SUM(E27:E30)</f>
        <v>376856428.67000002</v>
      </c>
    </row>
    <row r="28" spans="1:9" ht="61.5" customHeight="1">
      <c r="A28" s="336"/>
      <c r="B28" s="337"/>
      <c r="C28" s="295" t="s">
        <v>532</v>
      </c>
      <c r="D28" s="312" t="s">
        <v>543</v>
      </c>
      <c r="E28" s="313">
        <v>310491428.67000002</v>
      </c>
      <c r="F28" s="339"/>
      <c r="I28" s="343"/>
    </row>
    <row r="29" spans="1:9" ht="49.5" customHeight="1">
      <c r="A29" s="336"/>
      <c r="B29" s="337"/>
      <c r="C29" s="295" t="s">
        <v>539</v>
      </c>
      <c r="D29" s="312" t="s">
        <v>544</v>
      </c>
      <c r="E29" s="313">
        <v>800000</v>
      </c>
      <c r="F29" s="339"/>
    </row>
    <row r="30" spans="1:9" ht="100.5" customHeight="1">
      <c r="A30" s="336"/>
      <c r="B30" s="337"/>
      <c r="C30" s="295" t="s">
        <v>545</v>
      </c>
      <c r="D30" s="312" t="s">
        <v>546</v>
      </c>
      <c r="E30" s="313">
        <v>61565000</v>
      </c>
      <c r="F30" s="339"/>
    </row>
    <row r="31" spans="1:9" ht="13.5" thickBot="1">
      <c r="A31" s="344"/>
      <c r="B31" s="316"/>
      <c r="C31" s="317"/>
      <c r="D31" s="318"/>
      <c r="E31" s="319"/>
      <c r="F31" s="320"/>
    </row>
    <row r="32" spans="1:9" ht="13.5" thickBot="1">
      <c r="A32" s="299" t="s">
        <v>235</v>
      </c>
      <c r="B32" s="300" t="s">
        <v>236</v>
      </c>
      <c r="C32" s="301"/>
      <c r="D32" s="302"/>
      <c r="E32" s="303"/>
      <c r="F32" s="304">
        <f>SUM(F33:F38)</f>
        <v>163405376.62</v>
      </c>
    </row>
    <row r="33" spans="1:9" ht="35.25" customHeight="1">
      <c r="A33" s="341" t="s">
        <v>239</v>
      </c>
      <c r="B33" s="294" t="s">
        <v>240</v>
      </c>
      <c r="C33" s="295" t="s">
        <v>528</v>
      </c>
      <c r="D33" s="312" t="s">
        <v>547</v>
      </c>
      <c r="E33" s="313">
        <v>1000000</v>
      </c>
      <c r="F33" s="314">
        <f>+E33</f>
        <v>1000000</v>
      </c>
    </row>
    <row r="34" spans="1:9" ht="70.5" customHeight="1">
      <c r="A34" s="341" t="s">
        <v>243</v>
      </c>
      <c r="B34" s="294" t="s">
        <v>244</v>
      </c>
      <c r="C34" s="295" t="s">
        <v>539</v>
      </c>
      <c r="D34" s="312" t="s">
        <v>548</v>
      </c>
      <c r="E34" s="342">
        <v>6450000</v>
      </c>
      <c r="F34" s="314">
        <f>+E34</f>
        <v>6450000</v>
      </c>
    </row>
    <row r="35" spans="1:9" ht="64.5" customHeight="1">
      <c r="A35" s="345" t="s">
        <v>247</v>
      </c>
      <c r="B35" s="346" t="s">
        <v>248</v>
      </c>
      <c r="C35" s="295" t="s">
        <v>539</v>
      </c>
      <c r="D35" s="312" t="s">
        <v>549</v>
      </c>
      <c r="E35" s="342">
        <v>140005376.62</v>
      </c>
      <c r="F35" s="347">
        <f>SUM(E35:E36)</f>
        <v>140655376.62</v>
      </c>
      <c r="H35" s="268">
        <v>77170776.420000002</v>
      </c>
      <c r="I35" s="292">
        <f>+H35-E35</f>
        <v>-62834600.200000003</v>
      </c>
    </row>
    <row r="36" spans="1:9" ht="63" customHeight="1">
      <c r="A36" s="348"/>
      <c r="B36" s="349"/>
      <c r="C36" s="295" t="s">
        <v>550</v>
      </c>
      <c r="D36" s="312" t="s">
        <v>551</v>
      </c>
      <c r="E36" s="342">
        <v>650000</v>
      </c>
      <c r="F36" s="350"/>
    </row>
    <row r="37" spans="1:9" ht="174.75" customHeight="1">
      <c r="A37" s="345" t="s">
        <v>249</v>
      </c>
      <c r="B37" s="346" t="s">
        <v>250</v>
      </c>
      <c r="C37" s="295" t="s">
        <v>528</v>
      </c>
      <c r="D37" s="312" t="s">
        <v>552</v>
      </c>
      <c r="E37" s="313">
        <f>14200000-1500000-1400000</f>
        <v>11300000</v>
      </c>
      <c r="F37" s="347">
        <f>SUM(E37:E38)</f>
        <v>15300000</v>
      </c>
    </row>
    <row r="38" spans="1:9" ht="48.75" customHeight="1">
      <c r="A38" s="348"/>
      <c r="B38" s="349"/>
      <c r="C38" s="295" t="s">
        <v>539</v>
      </c>
      <c r="D38" s="312" t="s">
        <v>553</v>
      </c>
      <c r="E38" s="313">
        <v>4000000</v>
      </c>
      <c r="F38" s="350"/>
    </row>
    <row r="39" spans="1:9">
      <c r="A39" s="311"/>
      <c r="B39" s="294"/>
      <c r="C39" s="295"/>
      <c r="D39" s="312"/>
      <c r="E39" s="313"/>
      <c r="F39" s="351"/>
    </row>
    <row r="40" spans="1:9">
      <c r="A40" s="321" t="s">
        <v>251</v>
      </c>
      <c r="B40" s="322" t="s">
        <v>252</v>
      </c>
      <c r="C40" s="352"/>
      <c r="D40" s="353"/>
      <c r="E40" s="354"/>
      <c r="F40" s="355">
        <f>SUM(F41:F42)</f>
        <v>4000000</v>
      </c>
    </row>
    <row r="41" spans="1:9" ht="131.25" customHeight="1">
      <c r="A41" s="341" t="s">
        <v>257</v>
      </c>
      <c r="B41" s="294" t="s">
        <v>258</v>
      </c>
      <c r="C41" s="295" t="s">
        <v>528</v>
      </c>
      <c r="D41" s="312" t="s">
        <v>554</v>
      </c>
      <c r="E41" s="313">
        <v>2000000</v>
      </c>
      <c r="F41" s="314">
        <v>2000000</v>
      </c>
    </row>
    <row r="42" spans="1:9" ht="125.25" customHeight="1">
      <c r="A42" s="341" t="s">
        <v>259</v>
      </c>
      <c r="B42" s="294" t="s">
        <v>260</v>
      </c>
      <c r="C42" s="295" t="s">
        <v>528</v>
      </c>
      <c r="D42" s="312" t="s">
        <v>555</v>
      </c>
      <c r="E42" s="313">
        <v>2000000</v>
      </c>
      <c r="F42" s="314">
        <v>2000000</v>
      </c>
    </row>
    <row r="43" spans="1:9" ht="13.5" thickBot="1">
      <c r="A43" s="344"/>
      <c r="B43" s="316"/>
      <c r="C43" s="317"/>
      <c r="D43" s="318"/>
      <c r="E43" s="319"/>
      <c r="F43" s="320"/>
    </row>
    <row r="44" spans="1:9" ht="26.25" thickBot="1">
      <c r="A44" s="299" t="s">
        <v>261</v>
      </c>
      <c r="B44" s="300" t="s">
        <v>262</v>
      </c>
      <c r="C44" s="301"/>
      <c r="D44" s="302"/>
      <c r="E44" s="303"/>
      <c r="F44" s="304">
        <f>+F45</f>
        <v>27120000</v>
      </c>
    </row>
    <row r="45" spans="1:9" ht="43.5" customHeight="1">
      <c r="A45" s="334" t="s">
        <v>263</v>
      </c>
      <c r="B45" s="306" t="s">
        <v>264</v>
      </c>
      <c r="C45" s="295" t="s">
        <v>539</v>
      </c>
      <c r="D45" s="308" t="s">
        <v>556</v>
      </c>
      <c r="E45" s="356">
        <v>27120000</v>
      </c>
      <c r="F45" s="333">
        <f>+E45</f>
        <v>27120000</v>
      </c>
    </row>
    <row r="46" spans="1:9" ht="13.5" thickBot="1">
      <c r="A46" s="344"/>
      <c r="B46" s="316"/>
      <c r="C46" s="317"/>
      <c r="D46" s="318"/>
      <c r="E46" s="319"/>
      <c r="F46" s="320"/>
    </row>
    <row r="47" spans="1:9" ht="13.5" thickBot="1">
      <c r="A47" s="299" t="s">
        <v>269</v>
      </c>
      <c r="B47" s="300" t="s">
        <v>270</v>
      </c>
      <c r="C47" s="301"/>
      <c r="D47" s="302"/>
      <c r="E47" s="303"/>
      <c r="F47" s="304">
        <f>SUM(F48:F50)</f>
        <v>17000000</v>
      </c>
    </row>
    <row r="48" spans="1:9" ht="98.25" customHeight="1">
      <c r="A48" s="357" t="s">
        <v>271</v>
      </c>
      <c r="B48" s="349" t="s">
        <v>272</v>
      </c>
      <c r="C48" s="295" t="s">
        <v>528</v>
      </c>
      <c r="D48" s="312" t="s">
        <v>557</v>
      </c>
      <c r="E48" s="313">
        <f>15000000-2000000</f>
        <v>13000000</v>
      </c>
      <c r="F48" s="350">
        <f>SUM(E48:E49)</f>
        <v>15000000</v>
      </c>
    </row>
    <row r="49" spans="1:8" ht="151.5" customHeight="1">
      <c r="A49" s="336"/>
      <c r="B49" s="337"/>
      <c r="C49" s="295" t="s">
        <v>539</v>
      </c>
      <c r="D49" s="312" t="s">
        <v>558</v>
      </c>
      <c r="E49" s="342">
        <f>2610000-610000</f>
        <v>2000000</v>
      </c>
      <c r="F49" s="339"/>
    </row>
    <row r="50" spans="1:8" ht="165.75">
      <c r="A50" s="341" t="s">
        <v>273</v>
      </c>
      <c r="B50" s="294" t="s">
        <v>274</v>
      </c>
      <c r="C50" s="295" t="s">
        <v>528</v>
      </c>
      <c r="D50" s="312" t="s">
        <v>559</v>
      </c>
      <c r="E50" s="313">
        <f>2800000-800000</f>
        <v>2000000</v>
      </c>
      <c r="F50" s="314">
        <f>+E50</f>
        <v>2000000</v>
      </c>
    </row>
    <row r="51" spans="1:8" ht="13.5" thickBot="1">
      <c r="A51" s="344"/>
      <c r="B51" s="316"/>
      <c r="C51" s="317"/>
      <c r="D51" s="318"/>
      <c r="E51" s="319"/>
      <c r="F51" s="320"/>
    </row>
    <row r="52" spans="1:8" ht="26.25" customHeight="1" thickBot="1">
      <c r="A52" s="299" t="s">
        <v>277</v>
      </c>
      <c r="B52" s="300" t="s">
        <v>278</v>
      </c>
      <c r="C52" s="301"/>
      <c r="D52" s="302"/>
      <c r="E52" s="303"/>
      <c r="F52" s="304">
        <f>SUM(F53:F70)</f>
        <v>92698623.430000007</v>
      </c>
    </row>
    <row r="53" spans="1:8" ht="141" customHeight="1">
      <c r="A53" s="357" t="s">
        <v>279</v>
      </c>
      <c r="B53" s="349" t="s">
        <v>280</v>
      </c>
      <c r="C53" s="295" t="s">
        <v>539</v>
      </c>
      <c r="D53" s="308" t="s">
        <v>560</v>
      </c>
      <c r="E53" s="356">
        <v>58511603.43</v>
      </c>
      <c r="F53" s="350">
        <f>SUM(E53:E54)</f>
        <v>59641603.43</v>
      </c>
    </row>
    <row r="54" spans="1:8" ht="78.75" customHeight="1">
      <c r="A54" s="336"/>
      <c r="B54" s="337"/>
      <c r="C54" s="295" t="s">
        <v>550</v>
      </c>
      <c r="D54" s="312" t="s">
        <v>561</v>
      </c>
      <c r="E54" s="358">
        <f>1000000+130000</f>
        <v>1130000</v>
      </c>
      <c r="F54" s="339"/>
    </row>
    <row r="55" spans="1:8" ht="52.5" customHeight="1">
      <c r="A55" s="336" t="s">
        <v>285</v>
      </c>
      <c r="B55" s="337" t="s">
        <v>286</v>
      </c>
      <c r="C55" s="295" t="s">
        <v>532</v>
      </c>
      <c r="D55" s="312" t="s">
        <v>562</v>
      </c>
      <c r="E55" s="313">
        <f>500000+65000</f>
        <v>565000</v>
      </c>
      <c r="F55" s="339">
        <f>SUM(E55:E56)</f>
        <v>8192500</v>
      </c>
    </row>
    <row r="56" spans="1:8" ht="121.5" customHeight="1">
      <c r="A56" s="336"/>
      <c r="B56" s="337"/>
      <c r="C56" s="295" t="s">
        <v>539</v>
      </c>
      <c r="D56" s="312" t="s">
        <v>563</v>
      </c>
      <c r="E56" s="342">
        <f>8250000-1500000+877500</f>
        <v>7627500</v>
      </c>
      <c r="F56" s="339"/>
    </row>
    <row r="57" spans="1:8" ht="54" customHeight="1">
      <c r="A57" s="341" t="s">
        <v>564</v>
      </c>
      <c r="B57" s="294" t="s">
        <v>288</v>
      </c>
      <c r="C57" s="295" t="s">
        <v>539</v>
      </c>
      <c r="D57" s="312" t="s">
        <v>565</v>
      </c>
      <c r="E57" s="342">
        <f>750000-500000+32500</f>
        <v>282500</v>
      </c>
      <c r="F57" s="314">
        <f>+E57</f>
        <v>282500</v>
      </c>
    </row>
    <row r="58" spans="1:8" ht="51">
      <c r="A58" s="336" t="s">
        <v>289</v>
      </c>
      <c r="B58" s="337" t="s">
        <v>290</v>
      </c>
      <c r="C58" s="295" t="s">
        <v>532</v>
      </c>
      <c r="D58" s="312" t="s">
        <v>566</v>
      </c>
      <c r="E58" s="342">
        <f>340000-140000+26000</f>
        <v>226000</v>
      </c>
      <c r="F58" s="339">
        <f>SUM(E58:E59)</f>
        <v>1921000</v>
      </c>
      <c r="H58" s="268">
        <f>+E58*13%</f>
        <v>29380</v>
      </c>
    </row>
    <row r="59" spans="1:8" ht="59.25" customHeight="1">
      <c r="A59" s="336"/>
      <c r="B59" s="337"/>
      <c r="C59" s="295" t="s">
        <v>539</v>
      </c>
      <c r="D59" s="312" t="s">
        <v>567</v>
      </c>
      <c r="E59" s="342">
        <f>2500000-1000000+195000</f>
        <v>1695000</v>
      </c>
      <c r="F59" s="339"/>
      <c r="H59" s="268">
        <f t="shared" ref="H59:H70" si="0">+E59*13%</f>
        <v>220350</v>
      </c>
    </row>
    <row r="60" spans="1:8" ht="57" customHeight="1">
      <c r="A60" s="336" t="s">
        <v>291</v>
      </c>
      <c r="B60" s="337" t="s">
        <v>292</v>
      </c>
      <c r="C60" s="295" t="s">
        <v>528</v>
      </c>
      <c r="D60" s="312" t="s">
        <v>568</v>
      </c>
      <c r="E60" s="342">
        <f>500000-200000+39000</f>
        <v>339000</v>
      </c>
      <c r="F60" s="339">
        <f>SUM(E60:E63)</f>
        <v>11164400</v>
      </c>
      <c r="H60" s="268">
        <f t="shared" si="0"/>
        <v>44070</v>
      </c>
    </row>
    <row r="61" spans="1:8" ht="57.75" customHeight="1">
      <c r="A61" s="336"/>
      <c r="B61" s="337"/>
      <c r="C61" s="295" t="s">
        <v>532</v>
      </c>
      <c r="D61" s="312" t="s">
        <v>569</v>
      </c>
      <c r="E61" s="313">
        <v>282500</v>
      </c>
      <c r="F61" s="339"/>
      <c r="H61" s="268">
        <f>+E61*13%</f>
        <v>36725</v>
      </c>
    </row>
    <row r="62" spans="1:8" ht="111.75" customHeight="1">
      <c r="A62" s="336"/>
      <c r="B62" s="337"/>
      <c r="C62" s="295" t="s">
        <v>539</v>
      </c>
      <c r="D62" s="312" t="s">
        <v>570</v>
      </c>
      <c r="E62" s="342">
        <f>9250000+1202500</f>
        <v>10452500</v>
      </c>
      <c r="F62" s="339"/>
      <c r="H62" s="268">
        <f t="shared" si="0"/>
        <v>1358825</v>
      </c>
    </row>
    <row r="63" spans="1:8" ht="61.5" customHeight="1">
      <c r="A63" s="336"/>
      <c r="B63" s="337"/>
      <c r="C63" s="295" t="s">
        <v>550</v>
      </c>
      <c r="D63" s="312" t="s">
        <v>571</v>
      </c>
      <c r="E63" s="342">
        <f>80000+10400</f>
        <v>90400</v>
      </c>
      <c r="F63" s="339"/>
      <c r="H63" s="268">
        <f t="shared" si="0"/>
        <v>11752</v>
      </c>
    </row>
    <row r="64" spans="1:8" ht="64.5" customHeight="1">
      <c r="A64" s="336" t="s">
        <v>293</v>
      </c>
      <c r="B64" s="337" t="s">
        <v>294</v>
      </c>
      <c r="C64" s="295" t="s">
        <v>528</v>
      </c>
      <c r="D64" s="312" t="s">
        <v>572</v>
      </c>
      <c r="E64" s="342">
        <f>800000-400000+52000</f>
        <v>452000</v>
      </c>
      <c r="F64" s="359">
        <f>SUM(E64:E68)</f>
        <v>10848000</v>
      </c>
      <c r="H64" s="268">
        <f t="shared" si="0"/>
        <v>58760</v>
      </c>
    </row>
    <row r="65" spans="1:8" ht="78.75" customHeight="1">
      <c r="A65" s="336"/>
      <c r="B65" s="337"/>
      <c r="C65" s="295" t="s">
        <v>541</v>
      </c>
      <c r="D65" s="312" t="s">
        <v>573</v>
      </c>
      <c r="E65" s="342">
        <f>650000-250000+52000</f>
        <v>452000</v>
      </c>
      <c r="F65" s="359"/>
      <c r="H65" s="268">
        <f t="shared" si="0"/>
        <v>58760</v>
      </c>
    </row>
    <row r="66" spans="1:8" ht="54.75" customHeight="1">
      <c r="A66" s="336"/>
      <c r="B66" s="337"/>
      <c r="C66" s="295" t="s">
        <v>532</v>
      </c>
      <c r="D66" s="312" t="s">
        <v>574</v>
      </c>
      <c r="E66" s="313">
        <f>150000+19500</f>
        <v>169500</v>
      </c>
      <c r="F66" s="359"/>
      <c r="H66" s="268">
        <f t="shared" si="0"/>
        <v>22035</v>
      </c>
    </row>
    <row r="67" spans="1:8" ht="90" customHeight="1">
      <c r="A67" s="336"/>
      <c r="B67" s="337"/>
      <c r="C67" s="295" t="s">
        <v>550</v>
      </c>
      <c r="D67" s="312" t="s">
        <v>575</v>
      </c>
      <c r="E67" s="342">
        <f>300000+39000</f>
        <v>339000</v>
      </c>
      <c r="F67" s="359"/>
      <c r="H67" s="268">
        <f t="shared" si="0"/>
        <v>44070</v>
      </c>
    </row>
    <row r="68" spans="1:8" ht="180.75" customHeight="1">
      <c r="A68" s="336"/>
      <c r="B68" s="337"/>
      <c r="C68" s="295" t="s">
        <v>545</v>
      </c>
      <c r="D68" s="312" t="s">
        <v>576</v>
      </c>
      <c r="E68" s="313">
        <f>8350000+1085500</f>
        <v>9435500</v>
      </c>
      <c r="F68" s="359"/>
      <c r="H68" s="268">
        <f t="shared" si="0"/>
        <v>1226615</v>
      </c>
    </row>
    <row r="69" spans="1:8" ht="87" customHeight="1">
      <c r="A69" s="336" t="s">
        <v>295</v>
      </c>
      <c r="B69" s="337" t="s">
        <v>296</v>
      </c>
      <c r="C69" s="295" t="s">
        <v>539</v>
      </c>
      <c r="D69" s="312" t="s">
        <v>577</v>
      </c>
      <c r="E69" s="342">
        <f>300000-150000+19500</f>
        <v>169500</v>
      </c>
      <c r="F69" s="339">
        <f>SUM(E69:E70)</f>
        <v>648620</v>
      </c>
      <c r="H69" s="268">
        <f t="shared" si="0"/>
        <v>22035</v>
      </c>
    </row>
    <row r="70" spans="1:8" ht="67.5" customHeight="1">
      <c r="A70" s="336"/>
      <c r="B70" s="337"/>
      <c r="C70" s="295" t="s">
        <v>550</v>
      </c>
      <c r="D70" s="312" t="s">
        <v>578</v>
      </c>
      <c r="E70" s="342">
        <f>424000+55120</f>
        <v>479120</v>
      </c>
      <c r="F70" s="339"/>
      <c r="H70" s="268">
        <f t="shared" si="0"/>
        <v>62285.599999999999</v>
      </c>
    </row>
    <row r="71" spans="1:8" ht="13.5" thickBot="1">
      <c r="A71" s="344"/>
      <c r="B71" s="316"/>
      <c r="C71" s="317"/>
      <c r="D71" s="318"/>
      <c r="E71" s="319"/>
      <c r="F71" s="320"/>
    </row>
    <row r="72" spans="1:8" ht="13.5" thickBot="1">
      <c r="A72" s="299" t="s">
        <v>297</v>
      </c>
      <c r="B72" s="300" t="s">
        <v>298</v>
      </c>
      <c r="C72" s="301"/>
      <c r="D72" s="302"/>
      <c r="E72" s="303"/>
      <c r="F72" s="304">
        <f>+F73</f>
        <v>50000</v>
      </c>
    </row>
    <row r="73" spans="1:8" ht="48" customHeight="1">
      <c r="A73" s="341" t="s">
        <v>305</v>
      </c>
      <c r="B73" s="294" t="s">
        <v>306</v>
      </c>
      <c r="C73" s="295" t="s">
        <v>539</v>
      </c>
      <c r="D73" s="312" t="s">
        <v>579</v>
      </c>
      <c r="E73" s="342">
        <v>50000</v>
      </c>
      <c r="F73" s="314">
        <f>+E73</f>
        <v>50000</v>
      </c>
    </row>
    <row r="74" spans="1:8" ht="13.5" thickBot="1">
      <c r="A74" s="344"/>
      <c r="B74" s="316"/>
      <c r="C74" s="317"/>
      <c r="D74" s="318"/>
      <c r="E74" s="319"/>
      <c r="F74" s="320"/>
    </row>
    <row r="75" spans="1:8" ht="13.5" thickBot="1">
      <c r="A75" s="299">
        <v>2</v>
      </c>
      <c r="B75" s="300" t="s">
        <v>321</v>
      </c>
      <c r="C75" s="301"/>
      <c r="D75" s="302"/>
      <c r="E75" s="303"/>
      <c r="F75" s="304">
        <f>+F77+F81+F86+F92</f>
        <v>11972000</v>
      </c>
    </row>
    <row r="76" spans="1:8" ht="13.5" thickBot="1">
      <c r="A76" s="326"/>
      <c r="B76" s="327"/>
      <c r="C76" s="328"/>
      <c r="D76" s="329"/>
      <c r="E76" s="330"/>
      <c r="F76" s="331"/>
    </row>
    <row r="77" spans="1:8" ht="13.5" thickBot="1">
      <c r="A77" s="299" t="s">
        <v>322</v>
      </c>
      <c r="B77" s="300" t="s">
        <v>323</v>
      </c>
      <c r="C77" s="301"/>
      <c r="D77" s="302"/>
      <c r="E77" s="303"/>
      <c r="F77" s="304">
        <f>SUM(F78)</f>
        <v>1468000</v>
      </c>
    </row>
    <row r="78" spans="1:8" ht="55.5" customHeight="1">
      <c r="A78" s="360" t="s">
        <v>330</v>
      </c>
      <c r="B78" s="337" t="s">
        <v>331</v>
      </c>
      <c r="C78" s="295" t="s">
        <v>532</v>
      </c>
      <c r="D78" s="312" t="s">
        <v>580</v>
      </c>
      <c r="E78" s="342">
        <v>1168000</v>
      </c>
      <c r="F78" s="339">
        <f>SUM(E78:E79)</f>
        <v>1468000</v>
      </c>
    </row>
    <row r="79" spans="1:8" ht="48" customHeight="1">
      <c r="A79" s="360"/>
      <c r="B79" s="337"/>
      <c r="C79" s="295" t="s">
        <v>539</v>
      </c>
      <c r="D79" s="312" t="s">
        <v>581</v>
      </c>
      <c r="E79" s="342">
        <f>400000-100000</f>
        <v>300000</v>
      </c>
      <c r="F79" s="339"/>
    </row>
    <row r="80" spans="1:8" ht="13.5" thickBot="1">
      <c r="A80" s="344"/>
      <c r="B80" s="316"/>
      <c r="C80" s="317"/>
      <c r="D80" s="318"/>
      <c r="E80" s="319"/>
      <c r="F80" s="320"/>
    </row>
    <row r="81" spans="1:6" ht="26.25" thickBot="1">
      <c r="A81" s="299" t="s">
        <v>344</v>
      </c>
      <c r="B81" s="300" t="s">
        <v>345</v>
      </c>
      <c r="C81" s="301"/>
      <c r="D81" s="302"/>
      <c r="E81" s="303"/>
      <c r="F81" s="304">
        <f>SUM(F82:F84)</f>
        <v>4500000</v>
      </c>
    </row>
    <row r="82" spans="1:6" ht="108.75" customHeight="1">
      <c r="A82" s="311" t="s">
        <v>352</v>
      </c>
      <c r="B82" s="294" t="s">
        <v>353</v>
      </c>
      <c r="C82" s="295" t="s">
        <v>539</v>
      </c>
      <c r="D82" s="312" t="s">
        <v>582</v>
      </c>
      <c r="E82" s="342">
        <f>3000000-500000</f>
        <v>2500000</v>
      </c>
      <c r="F82" s="314">
        <f>+E82</f>
        <v>2500000</v>
      </c>
    </row>
    <row r="83" spans="1:6" ht="46.5" customHeight="1">
      <c r="A83" s="311" t="s">
        <v>354</v>
      </c>
      <c r="B83" s="294" t="s">
        <v>355</v>
      </c>
      <c r="C83" s="295" t="s">
        <v>539</v>
      </c>
      <c r="D83" s="312" t="s">
        <v>583</v>
      </c>
      <c r="E83" s="342">
        <f>1000000-500000</f>
        <v>500000</v>
      </c>
      <c r="F83" s="314">
        <f>+E83</f>
        <v>500000</v>
      </c>
    </row>
    <row r="84" spans="1:6" ht="65.25" customHeight="1">
      <c r="A84" s="311" t="s">
        <v>358</v>
      </c>
      <c r="B84" s="294" t="s">
        <v>359</v>
      </c>
      <c r="C84" s="295" t="s">
        <v>539</v>
      </c>
      <c r="D84" s="312" t="s">
        <v>584</v>
      </c>
      <c r="E84" s="342">
        <f>2100000-600000</f>
        <v>1500000</v>
      </c>
      <c r="F84" s="314">
        <f>+E84</f>
        <v>1500000</v>
      </c>
    </row>
    <row r="85" spans="1:6" ht="13.5" thickBot="1">
      <c r="A85" s="344"/>
      <c r="B85" s="316"/>
      <c r="C85" s="317"/>
      <c r="D85" s="318"/>
      <c r="E85" s="319"/>
      <c r="F85" s="320"/>
    </row>
    <row r="86" spans="1:6" ht="26.25" thickBot="1">
      <c r="A86" s="299" t="s">
        <v>360</v>
      </c>
      <c r="B86" s="300" t="s">
        <v>361</v>
      </c>
      <c r="C86" s="301"/>
      <c r="D86" s="302"/>
      <c r="E86" s="303"/>
      <c r="F86" s="304">
        <f>SUM(F87:F90)</f>
        <v>860000</v>
      </c>
    </row>
    <row r="87" spans="1:6" ht="33.75" customHeight="1">
      <c r="A87" s="361" t="s">
        <v>362</v>
      </c>
      <c r="B87" s="349" t="s">
        <v>363</v>
      </c>
      <c r="C87" s="295" t="s">
        <v>532</v>
      </c>
      <c r="D87" s="308" t="s">
        <v>585</v>
      </c>
      <c r="E87" s="356">
        <v>60000</v>
      </c>
      <c r="F87" s="350">
        <f>SUM(E87:E88)</f>
        <v>360000</v>
      </c>
    </row>
    <row r="88" spans="1:6" ht="45.75" customHeight="1">
      <c r="A88" s="360"/>
      <c r="B88" s="337"/>
      <c r="C88" s="295" t="s">
        <v>539</v>
      </c>
      <c r="D88" s="312" t="s">
        <v>586</v>
      </c>
      <c r="E88" s="342">
        <f>500000-200000</f>
        <v>300000</v>
      </c>
      <c r="F88" s="339"/>
    </row>
    <row r="89" spans="1:6" ht="35.25" customHeight="1">
      <c r="A89" s="360" t="s">
        <v>364</v>
      </c>
      <c r="B89" s="337" t="s">
        <v>365</v>
      </c>
      <c r="C89" s="295" t="s">
        <v>532</v>
      </c>
      <c r="D89" s="312" t="s">
        <v>587</v>
      </c>
      <c r="E89" s="342">
        <v>250000</v>
      </c>
      <c r="F89" s="339">
        <f>SUM(E89:E90)</f>
        <v>500000</v>
      </c>
    </row>
    <row r="90" spans="1:6" ht="44.25" customHeight="1">
      <c r="A90" s="360"/>
      <c r="B90" s="337"/>
      <c r="C90" s="295" t="s">
        <v>539</v>
      </c>
      <c r="D90" s="312" t="s">
        <v>588</v>
      </c>
      <c r="E90" s="342">
        <v>250000</v>
      </c>
      <c r="F90" s="339"/>
    </row>
    <row r="91" spans="1:6" ht="13.5" thickBot="1">
      <c r="A91" s="341"/>
      <c r="B91" s="294"/>
      <c r="C91" s="295"/>
      <c r="D91" s="312"/>
      <c r="E91" s="313"/>
      <c r="F91" s="351"/>
    </row>
    <row r="92" spans="1:6" ht="26.25" thickBot="1">
      <c r="A92" s="299" t="s">
        <v>375</v>
      </c>
      <c r="B92" s="300" t="s">
        <v>376</v>
      </c>
      <c r="C92" s="301"/>
      <c r="D92" s="302"/>
      <c r="E92" s="303"/>
      <c r="F92" s="304">
        <f>SUM(F93:F100)</f>
        <v>5144000</v>
      </c>
    </row>
    <row r="93" spans="1:6" ht="95.25" customHeight="1">
      <c r="A93" s="362" t="s">
        <v>377</v>
      </c>
      <c r="B93" s="363" t="s">
        <v>378</v>
      </c>
      <c r="C93" s="295" t="s">
        <v>528</v>
      </c>
      <c r="D93" s="308" t="s">
        <v>589</v>
      </c>
      <c r="E93" s="364">
        <v>60000</v>
      </c>
      <c r="F93" s="365">
        <f>SUM(E93:E96)</f>
        <v>1184000</v>
      </c>
    </row>
    <row r="94" spans="1:6" ht="173.25" customHeight="1">
      <c r="A94" s="366"/>
      <c r="B94" s="367"/>
      <c r="C94" s="295" t="s">
        <v>541</v>
      </c>
      <c r="D94" s="312" t="s">
        <v>590</v>
      </c>
      <c r="E94" s="313">
        <f>600000-200000</f>
        <v>400000</v>
      </c>
      <c r="F94" s="368"/>
    </row>
    <row r="95" spans="1:6" ht="139.5" customHeight="1">
      <c r="A95" s="366"/>
      <c r="B95" s="367"/>
      <c r="C95" s="295" t="s">
        <v>532</v>
      </c>
      <c r="D95" s="312" t="s">
        <v>591</v>
      </c>
      <c r="E95" s="342">
        <v>224000</v>
      </c>
      <c r="F95" s="368"/>
    </row>
    <row r="96" spans="1:6" ht="48" customHeight="1">
      <c r="A96" s="369"/>
      <c r="B96" s="370"/>
      <c r="C96" s="295" t="s">
        <v>550</v>
      </c>
      <c r="D96" s="312" t="s">
        <v>592</v>
      </c>
      <c r="E96" s="342">
        <v>500000</v>
      </c>
      <c r="F96" s="350"/>
    </row>
    <row r="97" spans="1:6" ht="48" customHeight="1">
      <c r="A97" s="371" t="s">
        <v>379</v>
      </c>
      <c r="B97" s="306" t="s">
        <v>380</v>
      </c>
      <c r="C97" s="295" t="s">
        <v>528</v>
      </c>
      <c r="D97" s="372" t="s">
        <v>593</v>
      </c>
      <c r="E97" s="342">
        <f>200000-100000</f>
        <v>100000</v>
      </c>
      <c r="F97" s="333">
        <f>+E97</f>
        <v>100000</v>
      </c>
    </row>
    <row r="98" spans="1:6" ht="302.25" customHeight="1">
      <c r="A98" s="360" t="s">
        <v>381</v>
      </c>
      <c r="B98" s="337" t="s">
        <v>382</v>
      </c>
      <c r="C98" s="295" t="s">
        <v>532</v>
      </c>
      <c r="D98" s="312" t="s">
        <v>594</v>
      </c>
      <c r="E98" s="313">
        <f>1321000-321000</f>
        <v>1000000</v>
      </c>
      <c r="F98" s="339">
        <f>SUM(E98:E99)</f>
        <v>3000000</v>
      </c>
    </row>
    <row r="99" spans="1:6" ht="92.25" customHeight="1">
      <c r="A99" s="360"/>
      <c r="B99" s="337"/>
      <c r="C99" s="295" t="s">
        <v>550</v>
      </c>
      <c r="D99" s="312" t="s">
        <v>595</v>
      </c>
      <c r="E99" s="342">
        <v>2000000</v>
      </c>
      <c r="F99" s="339"/>
    </row>
    <row r="100" spans="1:6" ht="30" customHeight="1">
      <c r="A100" s="311" t="s">
        <v>383</v>
      </c>
      <c r="B100" s="294" t="s">
        <v>384</v>
      </c>
      <c r="C100" s="295" t="s">
        <v>550</v>
      </c>
      <c r="D100" s="312" t="s">
        <v>596</v>
      </c>
      <c r="E100" s="342">
        <v>860000</v>
      </c>
      <c r="F100" s="314">
        <f>+E100</f>
        <v>860000</v>
      </c>
    </row>
    <row r="101" spans="1:6" ht="13.5" thickBot="1">
      <c r="A101" s="344"/>
      <c r="B101" s="316"/>
      <c r="C101" s="317"/>
      <c r="D101" s="318"/>
      <c r="E101" s="319"/>
      <c r="F101" s="320"/>
    </row>
    <row r="102" spans="1:6" ht="13.5" thickBot="1">
      <c r="A102" s="299">
        <v>5</v>
      </c>
      <c r="B102" s="300" t="s">
        <v>393</v>
      </c>
      <c r="C102" s="301"/>
      <c r="D102" s="302"/>
      <c r="E102" s="303"/>
      <c r="F102" s="304">
        <f>+F104+F122</f>
        <v>339947400</v>
      </c>
    </row>
    <row r="103" spans="1:6" ht="13.5" thickBot="1">
      <c r="A103" s="326"/>
      <c r="B103" s="327"/>
      <c r="C103" s="328"/>
      <c r="D103" s="329"/>
      <c r="E103" s="330"/>
      <c r="F103" s="331"/>
    </row>
    <row r="104" spans="1:6" ht="13.5" thickBot="1">
      <c r="A104" s="299" t="s">
        <v>394</v>
      </c>
      <c r="B104" s="300" t="s">
        <v>395</v>
      </c>
      <c r="C104" s="301"/>
      <c r="D104" s="302"/>
      <c r="E104" s="303"/>
      <c r="F104" s="304">
        <f>SUM(F105:F120)</f>
        <v>316447400</v>
      </c>
    </row>
    <row r="105" spans="1:6" ht="90.75" customHeight="1">
      <c r="A105" s="341" t="s">
        <v>597</v>
      </c>
      <c r="B105" s="294" t="s">
        <v>397</v>
      </c>
      <c r="C105" s="295" t="s">
        <v>550</v>
      </c>
      <c r="D105" s="312" t="s">
        <v>598</v>
      </c>
      <c r="E105" s="313">
        <v>400000</v>
      </c>
      <c r="F105" s="314">
        <f>+E105</f>
        <v>400000</v>
      </c>
    </row>
    <row r="106" spans="1:6" ht="48.75" customHeight="1">
      <c r="A106" s="345" t="s">
        <v>398</v>
      </c>
      <c r="B106" s="346" t="s">
        <v>399</v>
      </c>
      <c r="C106" s="295" t="s">
        <v>541</v>
      </c>
      <c r="D106" s="312" t="s">
        <v>599</v>
      </c>
      <c r="E106" s="313">
        <f>1200000-200000</f>
        <v>1000000</v>
      </c>
      <c r="F106" s="347">
        <f>SUM(E106:E107)</f>
        <v>1348600</v>
      </c>
    </row>
    <row r="107" spans="1:6" ht="70.5" customHeight="1">
      <c r="A107" s="348"/>
      <c r="B107" s="349"/>
      <c r="C107" s="295" t="s">
        <v>532</v>
      </c>
      <c r="D107" s="312" t="s">
        <v>600</v>
      </c>
      <c r="E107" s="313">
        <v>348600</v>
      </c>
      <c r="F107" s="350"/>
    </row>
    <row r="108" spans="1:6" ht="159" customHeight="1">
      <c r="A108" s="336" t="s">
        <v>400</v>
      </c>
      <c r="B108" s="337" t="s">
        <v>401</v>
      </c>
      <c r="C108" s="295" t="s">
        <v>528</v>
      </c>
      <c r="D108" s="312" t="s">
        <v>601</v>
      </c>
      <c r="E108" s="313">
        <f>1100000-300000</f>
        <v>800000</v>
      </c>
      <c r="F108" s="339">
        <f>SUM(E108:E111)</f>
        <v>1920000</v>
      </c>
    </row>
    <row r="109" spans="1:6" ht="52.5" customHeight="1">
      <c r="A109" s="336"/>
      <c r="B109" s="337"/>
      <c r="C109" s="295" t="s">
        <v>541</v>
      </c>
      <c r="D109" s="312" t="s">
        <v>602</v>
      </c>
      <c r="E109" s="342">
        <f>750000-250000</f>
        <v>500000</v>
      </c>
      <c r="F109" s="339"/>
    </row>
    <row r="110" spans="1:6" ht="50.25" customHeight="1">
      <c r="A110" s="336"/>
      <c r="B110" s="337"/>
      <c r="C110" s="295" t="s">
        <v>532</v>
      </c>
      <c r="D110" s="312" t="s">
        <v>603</v>
      </c>
      <c r="E110" s="342">
        <v>500000</v>
      </c>
      <c r="F110" s="339"/>
    </row>
    <row r="111" spans="1:6" ht="46.5" customHeight="1">
      <c r="A111" s="336"/>
      <c r="B111" s="337"/>
      <c r="C111" s="295" t="s">
        <v>539</v>
      </c>
      <c r="D111" s="312" t="s">
        <v>604</v>
      </c>
      <c r="E111" s="342">
        <v>120000</v>
      </c>
      <c r="F111" s="339"/>
    </row>
    <row r="112" spans="1:6" ht="56.25" customHeight="1">
      <c r="A112" s="360" t="s">
        <v>402</v>
      </c>
      <c r="B112" s="337" t="s">
        <v>403</v>
      </c>
      <c r="C112" s="295" t="s">
        <v>528</v>
      </c>
      <c r="D112" s="312" t="s">
        <v>605</v>
      </c>
      <c r="E112" s="313">
        <v>200000</v>
      </c>
      <c r="F112" s="339">
        <f>SUM(E112:E116)</f>
        <v>302771800</v>
      </c>
    </row>
    <row r="113" spans="1:6" ht="46.5" customHeight="1">
      <c r="A113" s="360"/>
      <c r="B113" s="337"/>
      <c r="C113" s="295" t="s">
        <v>541</v>
      </c>
      <c r="D113" s="312" t="s">
        <v>606</v>
      </c>
      <c r="E113" s="313">
        <v>17000000</v>
      </c>
      <c r="F113" s="339"/>
    </row>
    <row r="114" spans="1:6" ht="76.5" customHeight="1">
      <c r="A114" s="360"/>
      <c r="B114" s="337"/>
      <c r="C114" s="295" t="s">
        <v>550</v>
      </c>
      <c r="D114" s="312" t="s">
        <v>607</v>
      </c>
      <c r="E114" s="313">
        <v>150000</v>
      </c>
      <c r="F114" s="339"/>
    </row>
    <row r="115" spans="1:6" ht="116.25" customHeight="1">
      <c r="A115" s="360"/>
      <c r="B115" s="337"/>
      <c r="C115" s="295" t="s">
        <v>532</v>
      </c>
      <c r="D115" s="312" t="s">
        <v>608</v>
      </c>
      <c r="E115" s="342">
        <f>800000-200000+267721800</f>
        <v>268321800</v>
      </c>
      <c r="F115" s="339"/>
    </row>
    <row r="116" spans="1:6" ht="95.25" customHeight="1">
      <c r="A116" s="360"/>
      <c r="B116" s="337"/>
      <c r="C116" s="295" t="s">
        <v>539</v>
      </c>
      <c r="D116" s="312" t="s">
        <v>609</v>
      </c>
      <c r="E116" s="342">
        <v>17100000</v>
      </c>
      <c r="F116" s="339"/>
    </row>
    <row r="117" spans="1:6" ht="58.5" customHeight="1">
      <c r="A117" s="360" t="s">
        <v>404</v>
      </c>
      <c r="B117" s="337" t="s">
        <v>405</v>
      </c>
      <c r="C117" s="295" t="s">
        <v>532</v>
      </c>
      <c r="D117" s="312" t="s">
        <v>610</v>
      </c>
      <c r="E117" s="313">
        <v>2257000</v>
      </c>
      <c r="F117" s="347">
        <f>SUM(E117:E119)</f>
        <v>8807000</v>
      </c>
    </row>
    <row r="118" spans="1:6" ht="69.75" customHeight="1">
      <c r="A118" s="360"/>
      <c r="B118" s="337"/>
      <c r="C118" s="295" t="s">
        <v>545</v>
      </c>
      <c r="D118" s="312" t="s">
        <v>611</v>
      </c>
      <c r="E118" s="313">
        <f>11470000-5070000</f>
        <v>6400000</v>
      </c>
      <c r="F118" s="368"/>
    </row>
    <row r="119" spans="1:6" ht="60" customHeight="1">
      <c r="A119" s="311"/>
      <c r="B119" s="294"/>
      <c r="C119" s="295" t="s">
        <v>612</v>
      </c>
      <c r="D119" s="373" t="s">
        <v>613</v>
      </c>
      <c r="E119" s="313">
        <v>150000</v>
      </c>
      <c r="F119" s="350"/>
    </row>
    <row r="120" spans="1:6" ht="77.25" customHeight="1">
      <c r="A120" s="311" t="s">
        <v>406</v>
      </c>
      <c r="B120" s="294" t="s">
        <v>407</v>
      </c>
      <c r="C120" s="295" t="s">
        <v>539</v>
      </c>
      <c r="D120" s="312" t="s">
        <v>614</v>
      </c>
      <c r="E120" s="313">
        <v>1200000</v>
      </c>
      <c r="F120" s="314">
        <f>+E120</f>
        <v>1200000</v>
      </c>
    </row>
    <row r="121" spans="1:6" ht="13.5" thickBot="1">
      <c r="A121" s="344"/>
      <c r="B121" s="316"/>
      <c r="C121" s="317"/>
      <c r="D121" s="318"/>
      <c r="E121" s="319"/>
      <c r="F121" s="374"/>
    </row>
    <row r="122" spans="1:6" ht="13.5" thickBot="1">
      <c r="A122" s="299" t="s">
        <v>435</v>
      </c>
      <c r="B122" s="300" t="s">
        <v>436</v>
      </c>
      <c r="C122" s="301"/>
      <c r="D122" s="302"/>
      <c r="E122" s="303"/>
      <c r="F122" s="304">
        <f>+F123</f>
        <v>23500000</v>
      </c>
    </row>
    <row r="123" spans="1:6" ht="181.5" customHeight="1">
      <c r="A123" s="344" t="s">
        <v>441</v>
      </c>
      <c r="B123" s="316" t="s">
        <v>442</v>
      </c>
      <c r="C123" s="295" t="s">
        <v>545</v>
      </c>
      <c r="D123" s="318" t="s">
        <v>615</v>
      </c>
      <c r="E123" s="319">
        <v>23500000</v>
      </c>
      <c r="F123" s="374">
        <f>+E123</f>
        <v>23500000</v>
      </c>
    </row>
    <row r="124" spans="1:6" ht="13.5" thickBot="1">
      <c r="A124" s="344"/>
      <c r="B124" s="316"/>
      <c r="C124" s="317"/>
      <c r="D124" s="318"/>
      <c r="E124" s="319"/>
      <c r="F124" s="320"/>
    </row>
    <row r="125" spans="1:6" ht="13.5" thickBot="1">
      <c r="A125" s="299">
        <v>6</v>
      </c>
      <c r="B125" s="300" t="s">
        <v>67</v>
      </c>
      <c r="C125" s="301"/>
      <c r="D125" s="302"/>
      <c r="E125" s="303"/>
      <c r="F125" s="304">
        <f>SUM(F127+F130)</f>
        <v>1198400</v>
      </c>
    </row>
    <row r="126" spans="1:6">
      <c r="A126" s="371"/>
      <c r="B126" s="306"/>
      <c r="C126" s="307"/>
      <c r="D126" s="308"/>
      <c r="E126" s="309"/>
      <c r="F126" s="310"/>
    </row>
    <row r="127" spans="1:6" ht="25.5">
      <c r="A127" s="321">
        <v>6.02</v>
      </c>
      <c r="B127" s="322" t="s">
        <v>465</v>
      </c>
      <c r="C127" s="352"/>
      <c r="D127" s="353"/>
      <c r="E127" s="354"/>
      <c r="F127" s="355">
        <v>350000</v>
      </c>
    </row>
    <row r="128" spans="1:6" ht="30" customHeight="1">
      <c r="A128" s="341" t="s">
        <v>472</v>
      </c>
      <c r="B128" s="294" t="s">
        <v>473</v>
      </c>
      <c r="C128" s="295" t="s">
        <v>528</v>
      </c>
      <c r="D128" s="312" t="s">
        <v>616</v>
      </c>
      <c r="E128" s="313">
        <v>350000</v>
      </c>
      <c r="F128" s="314">
        <v>350000</v>
      </c>
    </row>
    <row r="129" spans="1:6" ht="13.5" thickBot="1">
      <c r="A129" s="341"/>
      <c r="B129" s="294"/>
      <c r="C129" s="295"/>
      <c r="D129" s="312"/>
      <c r="E129" s="313"/>
      <c r="F129" s="351"/>
    </row>
    <row r="130" spans="1:6" ht="26.25" thickBot="1">
      <c r="A130" s="299" t="s">
        <v>502</v>
      </c>
      <c r="B130" s="300" t="s">
        <v>503</v>
      </c>
      <c r="C130" s="301"/>
      <c r="D130" s="302"/>
      <c r="E130" s="303"/>
      <c r="F130" s="304">
        <f>SUM(F131)</f>
        <v>848400</v>
      </c>
    </row>
    <row r="131" spans="1:6" ht="75" customHeight="1">
      <c r="A131" s="371" t="s">
        <v>504</v>
      </c>
      <c r="B131" s="306" t="s">
        <v>505</v>
      </c>
      <c r="C131" s="295" t="s">
        <v>528</v>
      </c>
      <c r="D131" s="312" t="s">
        <v>617</v>
      </c>
      <c r="E131" s="342">
        <v>848400</v>
      </c>
      <c r="F131" s="333">
        <f>SUM(E131)</f>
        <v>848400</v>
      </c>
    </row>
    <row r="132" spans="1:6" ht="13.5" thickBot="1">
      <c r="A132" s="375"/>
      <c r="B132" s="376"/>
      <c r="C132" s="377"/>
      <c r="D132" s="378"/>
      <c r="E132" s="379"/>
      <c r="F132" s="380"/>
    </row>
  </sheetData>
  <mergeCells count="69">
    <mergeCell ref="A112:A116"/>
    <mergeCell ref="B112:B116"/>
    <mergeCell ref="F112:F116"/>
    <mergeCell ref="A117:A118"/>
    <mergeCell ref="B117:B118"/>
    <mergeCell ref="F117:F119"/>
    <mergeCell ref="A106:A107"/>
    <mergeCell ref="B106:B107"/>
    <mergeCell ref="F106:F107"/>
    <mergeCell ref="A108:A111"/>
    <mergeCell ref="B108:B111"/>
    <mergeCell ref="F108:F111"/>
    <mergeCell ref="A93:A96"/>
    <mergeCell ref="B93:B96"/>
    <mergeCell ref="F93:F96"/>
    <mergeCell ref="A98:A99"/>
    <mergeCell ref="B98:B99"/>
    <mergeCell ref="F98:F99"/>
    <mergeCell ref="A87:A88"/>
    <mergeCell ref="B87:B88"/>
    <mergeCell ref="F87:F88"/>
    <mergeCell ref="A89:A90"/>
    <mergeCell ref="B89:B90"/>
    <mergeCell ref="F89:F90"/>
    <mergeCell ref="A69:A70"/>
    <mergeCell ref="B69:B70"/>
    <mergeCell ref="F69:F70"/>
    <mergeCell ref="A78:A79"/>
    <mergeCell ref="B78:B79"/>
    <mergeCell ref="F78:F79"/>
    <mergeCell ref="A60:A63"/>
    <mergeCell ref="B60:B63"/>
    <mergeCell ref="F60:F63"/>
    <mergeCell ref="A64:A68"/>
    <mergeCell ref="B64:B68"/>
    <mergeCell ref="F64:F68"/>
    <mergeCell ref="A55:A56"/>
    <mergeCell ref="B55:B56"/>
    <mergeCell ref="F55:F56"/>
    <mergeCell ref="A58:A59"/>
    <mergeCell ref="B58:B59"/>
    <mergeCell ref="F58:F59"/>
    <mergeCell ref="A48:A49"/>
    <mergeCell ref="B48:B49"/>
    <mergeCell ref="F48:F49"/>
    <mergeCell ref="A53:A54"/>
    <mergeCell ref="B53:B54"/>
    <mergeCell ref="F53:F54"/>
    <mergeCell ref="A35:A36"/>
    <mergeCell ref="B35:B36"/>
    <mergeCell ref="F35:F36"/>
    <mergeCell ref="A37:A38"/>
    <mergeCell ref="B37:B38"/>
    <mergeCell ref="F37:F38"/>
    <mergeCell ref="A24:A25"/>
    <mergeCell ref="B24:B25"/>
    <mergeCell ref="F24:F25"/>
    <mergeCell ref="A27:A30"/>
    <mergeCell ref="B27:B30"/>
    <mergeCell ref="F27:F30"/>
    <mergeCell ref="A1:F1"/>
    <mergeCell ref="A2:F2"/>
    <mergeCell ref="A3:F3"/>
    <mergeCell ref="A4:F4"/>
    <mergeCell ref="A5:A8"/>
    <mergeCell ref="B5:B8"/>
    <mergeCell ref="C5:D7"/>
    <mergeCell ref="E5:E8"/>
    <mergeCell ref="F5:F8"/>
  </mergeCells>
  <pageMargins left="0.39370078740157483" right="0.39370078740157483" top="0.39370078740157483" bottom="0.39370078740157483" header="0.31496062992125984" footer="0.31496062992125984"/>
  <pageSetup scale="75" fitToHeight="12" orientation="landscape" r:id="rId1"/>
  <rowBreaks count="2" manualBreakCount="2">
    <brk id="46" max="5" man="1"/>
    <brk id="8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14</vt:i4>
      </vt:variant>
    </vt:vector>
  </HeadingPairs>
  <TitlesOfParts>
    <vt:vector size="22" baseType="lpstr">
      <vt:lpstr>origen y aplicación </vt:lpstr>
      <vt:lpstr>ingresos 2020 colones </vt:lpstr>
      <vt:lpstr>Clasificador Economico</vt:lpstr>
      <vt:lpstr>presupuesto global</vt:lpstr>
      <vt:lpstr>Transferencia Just.</vt:lpstr>
      <vt:lpstr>Transferencia</vt:lpstr>
      <vt:lpstr>Ing. propios</vt:lpstr>
      <vt:lpstr>Ing.Propios Just</vt:lpstr>
      <vt:lpstr>'Clasificador Economico'!Área_de_impresión</vt:lpstr>
      <vt:lpstr>'Ing. propios'!Área_de_impresión</vt:lpstr>
      <vt:lpstr>'Ing.Propios Just'!Área_de_impresión</vt:lpstr>
      <vt:lpstr>'ingresos 2020 colones '!Área_de_impresión</vt:lpstr>
      <vt:lpstr>'origen y aplicación '!Área_de_impresión</vt:lpstr>
      <vt:lpstr>'presupuesto global'!Área_de_impresión</vt:lpstr>
      <vt:lpstr>Transferencia!Área_de_impresión</vt:lpstr>
      <vt:lpstr>'Transferencia Just.'!Área_de_impresión</vt:lpstr>
      <vt:lpstr>'Ing. propios'!Títulos_a_imprimir</vt:lpstr>
      <vt:lpstr>'Ing.Propios Just'!Títulos_a_imprimir</vt:lpstr>
      <vt:lpstr>'ingresos 2020 colones '!Títulos_a_imprimir</vt:lpstr>
      <vt:lpstr>'presupuesto global'!Títulos_a_imprimir</vt:lpstr>
      <vt:lpstr>Transferencia!Títulos_a_imprimir</vt:lpstr>
      <vt:lpstr>'Transferencia Just.'!Títulos_a_imprimir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Urbina Aguirre</dc:creator>
  <cp:lastModifiedBy>Marisol Urbina Aguirre</cp:lastModifiedBy>
  <dcterms:created xsi:type="dcterms:W3CDTF">2019-10-28T20:55:19Z</dcterms:created>
  <dcterms:modified xsi:type="dcterms:W3CDTF">2020-02-10T16:34:05Z</dcterms:modified>
</cp:coreProperties>
</file>